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2" windowHeight="12588"/>
  </bookViews>
  <sheets>
    <sheet name="PhilS.Wearables.Calc" sheetId="3" r:id="rId1"/>
    <sheet name="Tabelle2" sheetId="2" state="hidden" r:id="rId2"/>
    <sheet name="Tabelle1" sheetId="1" state="hidden" r:id="rId3"/>
  </sheets>
  <definedNames>
    <definedName name="_xlnm._FilterDatabase" localSheetId="1" hidden="1">Tabelle2!$A$26:$B$26</definedName>
    <definedName name="_xlnm.Print_Area" localSheetId="1">Tabelle2!$A$2:$K$45</definedName>
  </definedNames>
  <calcPr calcId="144525"/>
</workbook>
</file>

<file path=xl/calcChain.xml><?xml version="1.0" encoding="utf-8"?>
<calcChain xmlns="http://schemas.openxmlformats.org/spreadsheetml/2006/main">
  <c r="G32" i="3" l="1"/>
  <c r="G31" i="3"/>
  <c r="G30" i="3"/>
  <c r="G29" i="3"/>
  <c r="G28" i="3"/>
  <c r="G27" i="3"/>
  <c r="G26" i="3"/>
  <c r="G25" i="3"/>
  <c r="G24" i="3"/>
  <c r="G23" i="3"/>
  <c r="G22" i="3"/>
  <c r="K19" i="3"/>
  <c r="K18" i="3"/>
  <c r="K17" i="3"/>
  <c r="K16" i="3"/>
  <c r="K15" i="3"/>
  <c r="K14" i="3"/>
  <c r="K13" i="3"/>
  <c r="K12" i="3"/>
  <c r="K11" i="3"/>
  <c r="K10" i="3"/>
  <c r="K9" i="3"/>
  <c r="H9" i="3"/>
  <c r="H10" i="3"/>
  <c r="H11" i="3"/>
  <c r="H12" i="3"/>
  <c r="H13" i="3"/>
  <c r="H14" i="3"/>
  <c r="H15" i="3"/>
  <c r="H16" i="3"/>
  <c r="H17" i="3"/>
  <c r="H18" i="3"/>
  <c r="H19" i="3"/>
  <c r="J22" i="3" l="1"/>
  <c r="P22" i="3"/>
  <c r="O22" i="3"/>
  <c r="I22" i="3"/>
  <c r="M22" i="3"/>
  <c r="N22" i="3"/>
  <c r="L22" i="3"/>
  <c r="K22" i="3"/>
  <c r="N29" i="3"/>
  <c r="K29" i="3"/>
  <c r="O29" i="3"/>
  <c r="L29" i="3"/>
  <c r="P29" i="3"/>
  <c r="M29" i="3"/>
  <c r="I29" i="3"/>
  <c r="J29" i="3"/>
  <c r="N28" i="3"/>
  <c r="K28" i="3"/>
  <c r="O28" i="3"/>
  <c r="L28" i="3"/>
  <c r="P28" i="3"/>
  <c r="M28" i="3"/>
  <c r="I28" i="3"/>
  <c r="J28" i="3"/>
  <c r="J23" i="3"/>
  <c r="N23" i="3"/>
  <c r="K23" i="3"/>
  <c r="O23" i="3"/>
  <c r="L23" i="3"/>
  <c r="P23" i="3"/>
  <c r="I23" i="3"/>
  <c r="M23" i="3"/>
  <c r="M30" i="3"/>
  <c r="I30" i="3"/>
  <c r="J30" i="3"/>
  <c r="N30" i="3"/>
  <c r="K30" i="3"/>
  <c r="O30" i="3"/>
  <c r="L30" i="3"/>
  <c r="P30" i="3"/>
  <c r="J31" i="3"/>
  <c r="N31" i="3"/>
  <c r="K31" i="3"/>
  <c r="O31" i="3"/>
  <c r="L31" i="3"/>
  <c r="P31" i="3"/>
  <c r="M31" i="3"/>
  <c r="I31" i="3"/>
  <c r="J32" i="3"/>
  <c r="N32" i="3"/>
  <c r="K32" i="3"/>
  <c r="O32" i="3"/>
  <c r="L32" i="3"/>
  <c r="M32" i="3"/>
  <c r="I32" i="3"/>
  <c r="P32" i="3"/>
  <c r="J27" i="3"/>
  <c r="N27" i="3"/>
  <c r="K27" i="3"/>
  <c r="O27" i="3"/>
  <c r="L27" i="3"/>
  <c r="P27" i="3"/>
  <c r="M27" i="3"/>
  <c r="I27" i="3"/>
  <c r="J26" i="3"/>
  <c r="N26" i="3"/>
  <c r="K26" i="3"/>
  <c r="O26" i="3"/>
  <c r="L26" i="3"/>
  <c r="P26" i="3"/>
  <c r="M26" i="3"/>
  <c r="I26" i="3"/>
  <c r="J25" i="3"/>
  <c r="N25" i="3"/>
  <c r="O25" i="3"/>
  <c r="L25" i="3"/>
  <c r="P25" i="3"/>
  <c r="K25" i="3"/>
  <c r="M25" i="3"/>
  <c r="I25" i="3"/>
  <c r="J24" i="3"/>
  <c r="N24" i="3"/>
  <c r="P24" i="3"/>
  <c r="I24" i="3"/>
  <c r="K24" i="3"/>
  <c r="O24" i="3"/>
  <c r="M24" i="3"/>
  <c r="L24" i="3"/>
  <c r="G33" i="3"/>
  <c r="J13" i="3"/>
  <c r="L13" i="3"/>
  <c r="M13" i="3"/>
  <c r="N13" i="3"/>
  <c r="O13" i="3"/>
  <c r="P13" i="3"/>
  <c r="I13" i="3"/>
  <c r="I9" i="3" l="1"/>
  <c r="J9" i="3"/>
  <c r="L9" i="3"/>
  <c r="M9" i="3"/>
  <c r="N9" i="3"/>
  <c r="O9" i="3"/>
  <c r="P9" i="3"/>
  <c r="J19" i="3" l="1"/>
  <c r="L19" i="3"/>
  <c r="M19" i="3"/>
  <c r="N19" i="3"/>
  <c r="O19" i="3"/>
  <c r="P19" i="3"/>
  <c r="I19" i="3"/>
  <c r="J18" i="3"/>
  <c r="L18" i="3"/>
  <c r="M18" i="3"/>
  <c r="N18" i="3"/>
  <c r="O18" i="3"/>
  <c r="P18" i="3"/>
  <c r="I18" i="3"/>
  <c r="J17" i="3"/>
  <c r="L17" i="3"/>
  <c r="M17" i="3"/>
  <c r="N17" i="3"/>
  <c r="O17" i="3"/>
  <c r="P17" i="3"/>
  <c r="I17" i="3"/>
  <c r="I16" i="3"/>
  <c r="J16" i="3" l="1"/>
  <c r="L16" i="3"/>
  <c r="M16" i="3"/>
  <c r="N16" i="3"/>
  <c r="O16" i="3"/>
  <c r="P16" i="3"/>
  <c r="J15" i="3"/>
  <c r="L15" i="3"/>
  <c r="M15" i="3"/>
  <c r="N15" i="3"/>
  <c r="O15" i="3"/>
  <c r="P15" i="3"/>
  <c r="I15" i="3"/>
  <c r="J14" i="3"/>
  <c r="L14" i="3"/>
  <c r="M14" i="3"/>
  <c r="N14" i="3"/>
  <c r="O14" i="3"/>
  <c r="P14" i="3"/>
  <c r="I14" i="3"/>
  <c r="J12" i="3"/>
  <c r="L12" i="3"/>
  <c r="M12" i="3"/>
  <c r="N12" i="3"/>
  <c r="O12" i="3"/>
  <c r="P12" i="3"/>
  <c r="I12" i="3"/>
  <c r="J11" i="3"/>
  <c r="L11" i="3"/>
  <c r="M11" i="3"/>
  <c r="N11" i="3"/>
  <c r="O11" i="3"/>
  <c r="P11" i="3"/>
  <c r="I11" i="3"/>
  <c r="J10" i="3"/>
  <c r="L10" i="3"/>
  <c r="M10" i="3"/>
  <c r="N10" i="3"/>
  <c r="O10" i="3"/>
  <c r="P10" i="3"/>
  <c r="I10" i="3"/>
  <c r="B50" i="2"/>
  <c r="O33" i="3" l="1"/>
  <c r="O34" i="3" s="1"/>
  <c r="O38" i="3" s="1"/>
  <c r="I33" i="3"/>
  <c r="I34" i="3" s="1"/>
  <c r="I38" i="3" s="1"/>
  <c r="M33" i="3"/>
  <c r="M34" i="3" s="1"/>
  <c r="M38" i="3" s="1"/>
  <c r="P33" i="3"/>
  <c r="P34" i="3" s="1"/>
  <c r="P38" i="3" s="1"/>
  <c r="L33" i="3"/>
  <c r="L34" i="3" s="1"/>
  <c r="L38" i="3" s="1"/>
  <c r="K33" i="3"/>
  <c r="K34" i="3" s="1"/>
  <c r="K38" i="3" s="1"/>
  <c r="N33" i="3"/>
  <c r="N34" i="3" s="1"/>
  <c r="N38" i="3" s="1"/>
  <c r="J33" i="3"/>
  <c r="J34" i="3" s="1"/>
  <c r="J38" i="3" s="1"/>
  <c r="B49" i="2"/>
  <c r="C42" i="2"/>
  <c r="E42" i="2"/>
  <c r="E43" i="2" s="1"/>
  <c r="F42" i="2"/>
  <c r="F43" i="2" s="1"/>
  <c r="G42" i="2"/>
  <c r="G43" i="2" s="1"/>
  <c r="H42" i="2"/>
  <c r="I42" i="2"/>
  <c r="I43" i="2" s="1"/>
  <c r="I45" i="2" s="1"/>
  <c r="J42" i="2"/>
  <c r="J43" i="2" s="1"/>
  <c r="K42" i="2"/>
  <c r="K43" i="2" s="1"/>
  <c r="D42" i="2"/>
  <c r="H43" i="2"/>
  <c r="N37" i="3" l="1"/>
  <c r="N36" i="3"/>
  <c r="M37" i="3"/>
  <c r="M36" i="3"/>
  <c r="K37" i="3"/>
  <c r="K36" i="3"/>
  <c r="I37" i="3"/>
  <c r="I36" i="3"/>
  <c r="L37" i="3"/>
  <c r="L36" i="3"/>
  <c r="O37" i="3"/>
  <c r="O36" i="3"/>
  <c r="J36" i="3"/>
  <c r="J37" i="3"/>
  <c r="P37" i="3"/>
  <c r="P36" i="3"/>
  <c r="K35" i="3"/>
  <c r="L35" i="3"/>
  <c r="O35" i="3"/>
  <c r="J35" i="3"/>
  <c r="P35" i="3"/>
  <c r="N35" i="3"/>
  <c r="M35" i="3"/>
  <c r="I35" i="3"/>
  <c r="J45" i="2"/>
  <c r="E45" i="2"/>
  <c r="F45" i="2"/>
  <c r="G45" i="2"/>
  <c r="H45" i="2"/>
  <c r="K45" i="2"/>
  <c r="F41" i="3" l="1"/>
  <c r="I40" i="3"/>
  <c r="D43" i="2"/>
  <c r="D45" i="2" s="1"/>
  <c r="F12" i="1" l="1"/>
  <c r="D13" i="1" l="1"/>
  <c r="E13" i="1"/>
  <c r="G13" i="1"/>
  <c r="H13" i="1"/>
  <c r="I13" i="1"/>
  <c r="C13" i="1"/>
  <c r="D12" i="1"/>
  <c r="E12" i="1"/>
  <c r="G12" i="1"/>
  <c r="H12" i="1"/>
  <c r="I12" i="1"/>
  <c r="C12" i="1"/>
</calcChain>
</file>

<file path=xl/sharedStrings.xml><?xml version="1.0" encoding="utf-8"?>
<sst xmlns="http://schemas.openxmlformats.org/spreadsheetml/2006/main" count="340" uniqueCount="171">
  <si>
    <t>Handhabung/Bedienbarkeit</t>
  </si>
  <si>
    <t>Lesbarkeit des Display (Größe, Auflösung, Kontrast)</t>
  </si>
  <si>
    <t>Datenanalyse (WEB-Portale, Exportfunktionen)</t>
  </si>
  <si>
    <t>Tragekomfort (Gewicht, Flexibilität/Breite des Armbands, Ergonomie)</t>
  </si>
  <si>
    <t>Funktionsumfang (Features der Uhr selbst)</t>
  </si>
  <si>
    <t>Wertigkeit (Verarbeitung der Uhr)</t>
  </si>
  <si>
    <t>Preis</t>
  </si>
  <si>
    <t>Akkulaufzeit (GPS-Betrieb, sonstiges)</t>
  </si>
  <si>
    <t>Tom Tom Cardio Runner</t>
  </si>
  <si>
    <t>Garmin FR220</t>
  </si>
  <si>
    <t>Epson SF-510</t>
  </si>
  <si>
    <t>Epson SF-810</t>
  </si>
  <si>
    <t>Polar M400</t>
  </si>
  <si>
    <t>Gewichtung</t>
  </si>
  <si>
    <t>Kriterien für den Kauf einer GPS-Laufuhr (1-10 Pkt.)</t>
  </si>
  <si>
    <t>Summe der erreichten Punkte</t>
  </si>
  <si>
    <t>in % im Verhältnis zum Sieger</t>
  </si>
  <si>
    <t>Platzierung</t>
  </si>
  <si>
    <t>1.</t>
  </si>
  <si>
    <t>2.</t>
  </si>
  <si>
    <t>3.</t>
  </si>
  <si>
    <t>Fazit:</t>
  </si>
  <si>
    <t>Einfach Handhabung und großes Display = TomTom</t>
  </si>
  <si>
    <t>Funktionsumfang &amp; Preis = M400</t>
  </si>
  <si>
    <t>Akkulaufzeit &amp; Wertigkeit = Epson Runsense</t>
  </si>
  <si>
    <t>Tragekomfort &amp; Funktionsumfang = Garmin FR620</t>
  </si>
  <si>
    <t>Tragekomfort &amp; Preis = Garmin FR220</t>
  </si>
  <si>
    <t>FR620</t>
  </si>
  <si>
    <t>Vivoactive</t>
  </si>
  <si>
    <t>Displaygröße</t>
  </si>
  <si>
    <t>Auflösung</t>
  </si>
  <si>
    <t>Farbe</t>
  </si>
  <si>
    <t>Gewicht</t>
  </si>
  <si>
    <t>TrainingLoad</t>
  </si>
  <si>
    <t>Barometer</t>
  </si>
  <si>
    <t>Recovery Advisor</t>
  </si>
  <si>
    <t>VO2MAX Estimation</t>
  </si>
  <si>
    <t>custom workouts</t>
  </si>
  <si>
    <t>simple intervall mode</t>
  </si>
  <si>
    <t>back to start</t>
  </si>
  <si>
    <t>follow gps track</t>
  </si>
  <si>
    <t>marker/way point direction</t>
  </si>
  <si>
    <t>power meter running</t>
  </si>
  <si>
    <t>power meter cycling</t>
  </si>
  <si>
    <t>live tracking</t>
  </si>
  <si>
    <t>sos emergencySMS</t>
  </si>
  <si>
    <t>strava live segments</t>
  </si>
  <si>
    <t>Nr.</t>
  </si>
  <si>
    <t>Eigenschaften</t>
  </si>
  <si>
    <t>Garmin VA3</t>
  </si>
  <si>
    <t>Polar Vantage M</t>
  </si>
  <si>
    <t>Polar Vantage V</t>
  </si>
  <si>
    <t>Garmin FR 645</t>
  </si>
  <si>
    <t>1,2"</t>
  </si>
  <si>
    <t>240x240</t>
  </si>
  <si>
    <t>ja</t>
  </si>
  <si>
    <t>43,4x43,4</t>
  </si>
  <si>
    <t>Abmessungen Gehäuse</t>
  </si>
  <si>
    <t>Gehäusematerial</t>
  </si>
  <si>
    <t>Edelstahl, Kunststoff</t>
  </si>
  <si>
    <t>42,5x42,5</t>
  </si>
  <si>
    <t>Edelstahl</t>
  </si>
  <si>
    <t>nein</t>
  </si>
  <si>
    <t>optional</t>
  </si>
  <si>
    <t>sw-update Q1-19</t>
  </si>
  <si>
    <t>46x46</t>
  </si>
  <si>
    <t>448x368</t>
  </si>
  <si>
    <t>44x38</t>
  </si>
  <si>
    <t>Apple Watch 4 Sport</t>
  </si>
  <si>
    <t>Kunststoff, Metall-Lünette</t>
  </si>
  <si>
    <t>Preis (UVP)</t>
  </si>
  <si>
    <t>Suunto.S.Trainer WHR</t>
  </si>
  <si>
    <t>218x218</t>
  </si>
  <si>
    <t>Preis (Straße)</t>
  </si>
  <si>
    <t>Punkte für Produkteigenschaften (0-10)</t>
  </si>
  <si>
    <t>Eigenschaft</t>
  </si>
  <si>
    <t>Gehäusetiefe</t>
  </si>
  <si>
    <t>Vantage M</t>
  </si>
  <si>
    <t>VA3</t>
  </si>
  <si>
    <t>SST WHR</t>
  </si>
  <si>
    <t>FR645</t>
  </si>
  <si>
    <t>Vantage V</t>
  </si>
  <si>
    <t>P/L</t>
  </si>
  <si>
    <t>erreichte Eigenschaftspunkte (gesamt)</t>
  </si>
  <si>
    <t>Garmin FR935</t>
  </si>
  <si>
    <t>Kunststoff</t>
  </si>
  <si>
    <t>FR935</t>
  </si>
  <si>
    <t>Alu, Keramik, Saphirgl.</t>
  </si>
  <si>
    <t>only by connectIQ</t>
  </si>
  <si>
    <t>?</t>
  </si>
  <si>
    <t>Multisport / Triathlon Mode</t>
  </si>
  <si>
    <t>App erforderlich</t>
  </si>
  <si>
    <t>App erforderlich.</t>
  </si>
  <si>
    <t>€ pro Eigenschaftspunkt (Straßenpreis)</t>
  </si>
  <si>
    <t>footpod</t>
  </si>
  <si>
    <t>ja (to presaved spots)</t>
  </si>
  <si>
    <t>Garmin Fenix 5</t>
  </si>
  <si>
    <t>47x47</t>
  </si>
  <si>
    <t>Fenix 5</t>
  </si>
  <si>
    <t>Barometer (F4)</t>
  </si>
  <si>
    <t>Akkulaufzeit (F2)</t>
  </si>
  <si>
    <t>Trainingsanalysen- und -funktionen (F5)</t>
  </si>
  <si>
    <t>Triathlon Mode (F6)</t>
  </si>
  <si>
    <t>Navigationsfunktionen (F8)</t>
  </si>
  <si>
    <t>Strava Live Segments (F10)</t>
  </si>
  <si>
    <t>GPS-Sportuhr gesucht - welche ist die richtige für mich?</t>
  </si>
  <si>
    <t>Diese Frage beantwortet der Interview-Assistent für Sie gerne.</t>
  </si>
  <si>
    <t>Frage 1</t>
  </si>
  <si>
    <t>Funktion bzw. Eigenschaft</t>
  </si>
  <si>
    <t>optional (nachrüstbar)</t>
  </si>
  <si>
    <t>Running Power ("Wattmessung Laufen")</t>
  </si>
  <si>
    <t>Frage 2</t>
  </si>
  <si>
    <t>Aufzeichnungsmodi für Triathlon</t>
  </si>
  <si>
    <t>Frage 3</t>
  </si>
  <si>
    <t>Frage 4</t>
  </si>
  <si>
    <t>Strukturierte Trainings erstellen und auf die Uhr laden</t>
  </si>
  <si>
    <t>GPS-Tracks auf die Uhr laden und ablaufen/abfahren</t>
  </si>
  <si>
    <t>Frage 5</t>
  </si>
  <si>
    <t>Eigengewicht der Uhr</t>
  </si>
  <si>
    <t>egal</t>
  </si>
  <si>
    <t>Frage 6</t>
  </si>
  <si>
    <t>sehr wichtig</t>
  </si>
  <si>
    <t>möglichst gering</t>
  </si>
  <si>
    <t>Batterielaufzeit (GPS)</t>
  </si>
  <si>
    <t>Frage 7</t>
  </si>
  <si>
    <t>Gehäusetiefe (Dicke der Uhr)</t>
  </si>
  <si>
    <t>Merkmal</t>
  </si>
  <si>
    <t>Akkulaufzeit GPS Mode in h</t>
  </si>
  <si>
    <t>Gewicht in g</t>
  </si>
  <si>
    <t>Tiefe Gehäuse in mm</t>
  </si>
  <si>
    <t>20 Std. oder mehr</t>
  </si>
  <si>
    <t>10 Std. oder mehr</t>
  </si>
  <si>
    <t>weniger als 10 Std.</t>
  </si>
  <si>
    <t>Selektion zu Frage 1</t>
  </si>
  <si>
    <t>Selektion zu Frage 2</t>
  </si>
  <si>
    <t>Selektion zu Frage 3</t>
  </si>
  <si>
    <t>Selektion zu Frage 4</t>
  </si>
  <si>
    <t>Selektion zu Frage 5</t>
  </si>
  <si>
    <t>Selektion zu Frage 6</t>
  </si>
  <si>
    <t>Selektion zu Frage 7</t>
  </si>
  <si>
    <t>Frage 8</t>
  </si>
  <si>
    <t>Strava Live Sgements auf der Uhr</t>
  </si>
  <si>
    <t>Frage 9</t>
  </si>
  <si>
    <t>Live Tracking (Garmin Feature)</t>
  </si>
  <si>
    <t>Frage 10</t>
  </si>
  <si>
    <t>P/L-Verhältnis</t>
  </si>
  <si>
    <t>ausreichend oder besser</t>
  </si>
  <si>
    <t>gut oder besser</t>
  </si>
  <si>
    <t>Selektion zu Frage 8</t>
  </si>
  <si>
    <t>Selektion zu Frage 9</t>
  </si>
  <si>
    <t>Selektion zu Frage 10</t>
  </si>
  <si>
    <t>bitte Auswahl treffen</t>
  </si>
  <si>
    <t>im Produkt enthalten</t>
  </si>
  <si>
    <t>Analysefunktionen (TL, Recovery etc.)</t>
  </si>
  <si>
    <t>Fragen zur Bedarfsermittlung</t>
  </si>
  <si>
    <t>[Apple Watch 4]</t>
  </si>
  <si>
    <t>[Vantage M]</t>
  </si>
  <si>
    <t>[VA3]</t>
  </si>
  <si>
    <t>[Trainer WHR]</t>
  </si>
  <si>
    <t>[FR645]</t>
  </si>
  <si>
    <t>[FR935]</t>
  </si>
  <si>
    <t>[Fenix 5]</t>
  </si>
  <si>
    <t>[Vantage V]</t>
  </si>
  <si>
    <t>x0</t>
  </si>
  <si>
    <t>x1</t>
  </si>
  <si>
    <t>x2</t>
  </si>
  <si>
    <t>Übereinstimmung in %</t>
  </si>
  <si>
    <t>Rangfolge</t>
  </si>
  <si>
    <t xml:space="preserve">       Dropdown Felder *</t>
  </si>
  <si>
    <t>Stand:</t>
  </si>
  <si>
    <t>PhilS.Wearables.ProductCalc V.0.6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</si>
</sst>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Arial"/>
      <family val="2"/>
    </font>
    <font>
      <b/>
      <sz val="11"/>
      <color rgb="FF3F3F76"/>
      <name val="Calibri"/>
      <family val="2"/>
      <scheme val="minor"/>
    </font>
    <font>
      <sz val="11"/>
      <color rgb="FF3F3F3F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0" tint="-4.9989318521683403E-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5" fillId="9" borderId="1" applyNumberFormat="0" applyAlignment="0" applyProtection="0"/>
    <xf numFmtId="0" fontId="6" fillId="10" borderId="2" applyNumberFormat="0" applyAlignment="0" applyProtection="0"/>
    <xf numFmtId="0" fontId="4" fillId="11" borderId="3" applyNumberFormat="0" applyFont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1" fillId="0" borderId="0" xfId="0" applyNumberFormat="1" applyFont="1" applyAlignment="1">
      <alignment horizontal="center"/>
    </xf>
    <xf numFmtId="0" fontId="2" fillId="6" borderId="0" xfId="0" applyFont="1" applyFill="1"/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164" fontId="2" fillId="6" borderId="0" xfId="0" applyNumberFormat="1" applyFont="1" applyFill="1"/>
    <xf numFmtId="0" fontId="2" fillId="6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2" fontId="0" fillId="0" borderId="0" xfId="0" applyNumberFormat="1"/>
    <xf numFmtId="165" fontId="0" fillId="0" borderId="0" xfId="0" applyNumberFormat="1"/>
    <xf numFmtId="0" fontId="3" fillId="0" borderId="0" xfId="0" applyFont="1"/>
    <xf numFmtId="0" fontId="0" fillId="6" borderId="0" xfId="0" applyFill="1"/>
    <xf numFmtId="0" fontId="0" fillId="5" borderId="0" xfId="0" applyFill="1"/>
    <xf numFmtId="0" fontId="0" fillId="7" borderId="0" xfId="0" applyFill="1"/>
    <xf numFmtId="0" fontId="0" fillId="8" borderId="0" xfId="0" applyFill="1"/>
    <xf numFmtId="0" fontId="5" fillId="9" borderId="1" xfId="1" applyProtection="1">
      <protection locked="0" hidden="1"/>
    </xf>
    <xf numFmtId="0" fontId="0" fillId="0" borderId="0" xfId="0" applyProtection="1">
      <protection hidden="1"/>
    </xf>
    <xf numFmtId="0" fontId="12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0" fillId="11" borderId="3" xfId="3" applyFont="1" applyProtection="1">
      <protection hidden="1"/>
    </xf>
    <xf numFmtId="0" fontId="3" fillId="11" borderId="3" xfId="3" applyFont="1" applyProtection="1">
      <protection hidden="1"/>
    </xf>
    <xf numFmtId="0" fontId="8" fillId="12" borderId="1" xfId="1" applyFont="1" applyFill="1" applyAlignment="1" applyProtection="1">
      <alignment horizontal="left"/>
      <protection hidden="1"/>
    </xf>
    <xf numFmtId="1" fontId="0" fillId="11" borderId="3" xfId="3" applyNumberFormat="1" applyFont="1" applyAlignment="1" applyProtection="1">
      <alignment horizontal="left"/>
      <protection hidden="1"/>
    </xf>
    <xf numFmtId="0" fontId="9" fillId="10" borderId="2" xfId="2" applyFont="1" applyProtection="1">
      <protection hidden="1"/>
    </xf>
    <xf numFmtId="0" fontId="9" fillId="10" borderId="2" xfId="2" applyFont="1" applyAlignment="1" applyProtection="1">
      <alignment horizontal="center"/>
      <protection hidden="1"/>
    </xf>
    <xf numFmtId="0" fontId="6" fillId="10" borderId="2" xfId="2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0" fillId="11" borderId="3" xfId="3" applyFont="1" applyAlignment="1" applyProtection="1">
      <alignment horizontal="right"/>
      <protection hidden="1"/>
    </xf>
    <xf numFmtId="0" fontId="6" fillId="10" borderId="2" xfId="2" applyAlignment="1" applyProtection="1">
      <alignment horizontal="center"/>
      <protection hidden="1"/>
    </xf>
    <xf numFmtId="9" fontId="6" fillId="10" borderId="2" xfId="2" applyNumberFormat="1" applyAlignment="1" applyProtection="1">
      <alignment horizontal="center"/>
      <protection hidden="1"/>
    </xf>
    <xf numFmtId="0" fontId="5" fillId="9" borderId="1" xfId="1" applyAlignment="1" applyProtection="1">
      <alignment horizontal="center"/>
      <protection locked="0" hidden="1"/>
    </xf>
    <xf numFmtId="1" fontId="0" fillId="11" borderId="3" xfId="3" applyNumberFormat="1" applyFont="1" applyAlignment="1" applyProtection="1">
      <alignment horizontal="right"/>
      <protection hidden="1"/>
    </xf>
    <xf numFmtId="0" fontId="3" fillId="11" borderId="3" xfId="3" applyFont="1" applyAlignment="1" applyProtection="1">
      <alignment horizontal="right"/>
      <protection hidden="1"/>
    </xf>
    <xf numFmtId="0" fontId="10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14" fontId="3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9" fillId="13" borderId="2" xfId="2" applyFont="1" applyFill="1" applyAlignment="1" applyProtection="1">
      <alignment horizontal="center"/>
      <protection hidden="1"/>
    </xf>
  </cellXfs>
  <cellStyles count="4">
    <cellStyle name="Ausgabe" xfId="2" builtinId="21"/>
    <cellStyle name="Eingabe" xfId="1" builtinId="20"/>
    <cellStyle name="Notiz" xfId="3" builtinId="10"/>
    <cellStyle name="Standard" xfId="0" builtinId="0"/>
  </cellStyles>
  <dxfs count="11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3</xdr:row>
      <xdr:rowOff>121920</xdr:rowOff>
    </xdr:from>
    <xdr:to>
      <xdr:col>5</xdr:col>
      <xdr:colOff>259080</xdr:colOff>
      <xdr:row>6</xdr:row>
      <xdr:rowOff>53340</xdr:rowOff>
    </xdr:to>
    <xdr:sp macro="" textlink="">
      <xdr:nvSpPr>
        <xdr:cNvPr id="2" name="Pfeil nach unten 1"/>
        <xdr:cNvSpPr/>
      </xdr:nvSpPr>
      <xdr:spPr>
        <a:xfrm>
          <a:off x="4785360" y="670560"/>
          <a:ext cx="22860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1958340</xdr:colOff>
      <xdr:row>41</xdr:row>
      <xdr:rowOff>7620</xdr:rowOff>
    </xdr:from>
    <xdr:to>
      <xdr:col>7</xdr:col>
      <xdr:colOff>544068</xdr:colOff>
      <xdr:row>42</xdr:row>
      <xdr:rowOff>167640</xdr:rowOff>
    </xdr:to>
    <xdr:sp macro="" textlink="">
      <xdr:nvSpPr>
        <xdr:cNvPr id="3" name="Pfeil nach rechts 2"/>
        <xdr:cNvSpPr/>
      </xdr:nvSpPr>
      <xdr:spPr>
        <a:xfrm>
          <a:off x="6713220" y="6690360"/>
          <a:ext cx="719328" cy="342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243840</xdr:colOff>
      <xdr:row>3</xdr:row>
      <xdr:rowOff>129540</xdr:rowOff>
    </xdr:from>
    <xdr:to>
      <xdr:col>6</xdr:col>
      <xdr:colOff>472440</xdr:colOff>
      <xdr:row>6</xdr:row>
      <xdr:rowOff>60960</xdr:rowOff>
    </xdr:to>
    <xdr:sp macro="" textlink="">
      <xdr:nvSpPr>
        <xdr:cNvPr id="6" name="Pfeil nach unten 5"/>
        <xdr:cNvSpPr/>
      </xdr:nvSpPr>
      <xdr:spPr>
        <a:xfrm>
          <a:off x="7802880" y="678180"/>
          <a:ext cx="228600" cy="495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0</xdr:col>
      <xdr:colOff>769620</xdr:colOff>
      <xdr:row>20</xdr:row>
      <xdr:rowOff>160020</xdr:rowOff>
    </xdr:from>
    <xdr:ext cx="3832860" cy="2781300"/>
    <xdr:sp macro="" textlink="">
      <xdr:nvSpPr>
        <xdr:cNvPr id="4" name="Textfeld 3"/>
        <xdr:cNvSpPr txBox="1"/>
      </xdr:nvSpPr>
      <xdr:spPr>
        <a:xfrm>
          <a:off x="769620" y="3832860"/>
          <a:ext cx="3832860" cy="27813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lvl="0" algn="l"/>
          <a:r>
            <a:rPr lang="de-DE" sz="1000">
              <a:latin typeface="Arial" pitchFamily="34" charset="0"/>
              <a:cs typeface="Arial" pitchFamily="34" charset="0"/>
            </a:rPr>
            <a:t>* Sie können aus 10 Eigenschaften auswählen und damit bestimmen, ob diese wichtig oder unwichtig für ihre Ent-scheidung sind.</a:t>
          </a:r>
        </a:p>
        <a:p>
          <a:pPr lvl="0" algn="l"/>
          <a:endParaRPr lang="de-DE" sz="1000">
            <a:latin typeface="Arial" pitchFamily="34" charset="0"/>
            <a:cs typeface="Arial" pitchFamily="34" charset="0"/>
          </a:endParaRPr>
        </a:p>
        <a:p>
          <a:pPr lvl="0" algn="l"/>
          <a:r>
            <a:rPr lang="de-DE" sz="1000">
              <a:latin typeface="Arial" pitchFamily="34" charset="0"/>
              <a:cs typeface="Arial" pitchFamily="34" charset="0"/>
            </a:rPr>
            <a:t>Sie können zudem einzelne Fragestellungen aus der Entscheidungsfindung ausklammern (</a:t>
          </a:r>
          <a:r>
            <a:rPr lang="de-DE" sz="1000" b="1">
              <a:latin typeface="Arial" pitchFamily="34" charset="0"/>
              <a:cs typeface="Arial" pitchFamily="34" charset="0"/>
            </a:rPr>
            <a:t>x0</a:t>
          </a:r>
          <a:r>
            <a:rPr lang="de-DE" sz="1000">
              <a:latin typeface="Arial" pitchFamily="34" charset="0"/>
              <a:cs typeface="Arial" pitchFamily="34" charset="0"/>
            </a:rPr>
            <a:t>), normal gewichten (</a:t>
          </a:r>
          <a:r>
            <a:rPr lang="de-DE" sz="1000" b="1">
              <a:latin typeface="Arial" pitchFamily="34" charset="0"/>
              <a:cs typeface="Arial" pitchFamily="34" charset="0"/>
            </a:rPr>
            <a:t>x1</a:t>
          </a:r>
          <a:r>
            <a:rPr lang="de-DE" sz="1000">
              <a:latin typeface="Arial" pitchFamily="34" charset="0"/>
              <a:cs typeface="Arial" pitchFamily="34" charset="0"/>
            </a:rPr>
            <a:t>) oder auch doppelt gewichten (</a:t>
          </a:r>
          <a:r>
            <a:rPr lang="de-DE" sz="1000" b="1">
              <a:latin typeface="Arial" pitchFamily="34" charset="0"/>
              <a:cs typeface="Arial" pitchFamily="34" charset="0"/>
            </a:rPr>
            <a:t>x2</a:t>
          </a:r>
          <a:r>
            <a:rPr lang="de-DE" sz="1000">
              <a:latin typeface="Arial" pitchFamily="34" charset="0"/>
              <a:cs typeface="Arial" pitchFamily="34" charset="0"/>
            </a:rPr>
            <a:t>).</a:t>
          </a:r>
        </a:p>
        <a:p>
          <a:pPr lvl="0" algn="l"/>
          <a:r>
            <a:rPr lang="de-DE" sz="1000">
              <a:latin typeface="Arial" pitchFamily="34" charset="0"/>
              <a:cs typeface="Arial" pitchFamily="34" charset="0"/>
            </a:rPr>
            <a:t>Gemessen an den gewählten Präferenzen erhält jeder Artikel Punkte zugeordnet.</a:t>
          </a:r>
        </a:p>
        <a:p>
          <a:pPr lvl="0" algn="l"/>
          <a:endParaRPr lang="de-DE" sz="1000">
            <a:latin typeface="Arial" pitchFamily="34" charset="0"/>
            <a:cs typeface="Arial" pitchFamily="34" charset="0"/>
          </a:endParaRPr>
        </a:p>
        <a:p>
          <a:pPr lvl="0" algn="l"/>
          <a:r>
            <a:rPr lang="de-DE" sz="1000">
              <a:latin typeface="Arial" pitchFamily="34" charset="0"/>
              <a:cs typeface="Arial" pitchFamily="34" charset="0"/>
            </a:rPr>
            <a:t>Maximale Übereinstimmung bedeutet</a:t>
          </a:r>
        </a:p>
        <a:p>
          <a:pPr lvl="0" algn="l"/>
          <a:endParaRPr lang="de-DE" sz="1100"/>
        </a:p>
        <a:p>
          <a:pPr lvl="0" algn="ctr"/>
          <a:r>
            <a:rPr lang="de-DE" sz="1000">
              <a:latin typeface="Arial" pitchFamily="34" charset="0"/>
              <a:cs typeface="Arial" pitchFamily="34" charset="0"/>
            </a:rPr>
            <a:t>100%</a:t>
          </a:r>
          <a:r>
            <a:rPr lang="de-DE" sz="1000" baseline="0">
              <a:latin typeface="Arial" pitchFamily="34" charset="0"/>
              <a:cs typeface="Arial" pitchFamily="34" charset="0"/>
            </a:rPr>
            <a:t>	</a:t>
          </a:r>
          <a:r>
            <a:rPr lang="de-DE" sz="1000">
              <a:latin typeface="Arial" pitchFamily="34" charset="0"/>
              <a:cs typeface="Arial" pitchFamily="34" charset="0"/>
            </a:rPr>
            <a:t>Rang 1 </a:t>
          </a:r>
        </a:p>
        <a:p>
          <a:pPr lvl="0" algn="ctr"/>
          <a:r>
            <a:rPr lang="de-DE" sz="1000">
              <a:latin typeface="Arial" pitchFamily="34" charset="0"/>
              <a:cs typeface="Arial" pitchFamily="34" charset="0"/>
            </a:rPr>
            <a:t>&gt; 90%</a:t>
          </a:r>
          <a:r>
            <a:rPr lang="de-DE" sz="1000" baseline="0">
              <a:latin typeface="Arial" pitchFamily="34" charset="0"/>
              <a:cs typeface="Arial" pitchFamily="34" charset="0"/>
            </a:rPr>
            <a:t>	</a:t>
          </a:r>
          <a:r>
            <a:rPr lang="de-DE" sz="1000">
              <a:latin typeface="Arial" pitchFamily="34" charset="0"/>
              <a:cs typeface="Arial" pitchFamily="34" charset="0"/>
            </a:rPr>
            <a:t>Rang 2 </a:t>
          </a:r>
        </a:p>
        <a:p>
          <a:pPr lvl="0" algn="ctr"/>
          <a:r>
            <a:rPr lang="de-DE" sz="1000">
              <a:latin typeface="Arial" pitchFamily="34" charset="0"/>
              <a:cs typeface="Arial" pitchFamily="34" charset="0"/>
            </a:rPr>
            <a:t>&gt; 75%</a:t>
          </a:r>
          <a:r>
            <a:rPr lang="de-DE" sz="1000" baseline="0">
              <a:latin typeface="Arial" pitchFamily="34" charset="0"/>
              <a:cs typeface="Arial" pitchFamily="34" charset="0"/>
            </a:rPr>
            <a:t> 	</a:t>
          </a:r>
          <a:r>
            <a:rPr lang="de-DE" sz="1000">
              <a:latin typeface="Arial" pitchFamily="34" charset="0"/>
              <a:cs typeface="Arial" pitchFamily="34" charset="0"/>
            </a:rPr>
            <a:t>Rang 3 </a:t>
          </a:r>
        </a:p>
        <a:p>
          <a:pPr lvl="0" algn="l"/>
          <a:endParaRPr lang="de-DE" sz="1000">
            <a:latin typeface="Arial" pitchFamily="34" charset="0"/>
            <a:cs typeface="Arial" pitchFamily="34" charset="0"/>
          </a:endParaRPr>
        </a:p>
        <a:p>
          <a:pPr lvl="0" algn="l"/>
          <a:r>
            <a:rPr lang="de-DE" sz="1000" b="1">
              <a:latin typeface="Arial" pitchFamily="34" charset="0"/>
              <a:cs typeface="Arial" pitchFamily="34" charset="0"/>
            </a:rPr>
            <a:t>Wird</a:t>
          </a:r>
          <a:r>
            <a:rPr lang="de-DE" sz="1000" b="1" baseline="0">
              <a:latin typeface="Arial" pitchFamily="34" charset="0"/>
              <a:cs typeface="Arial" pitchFamily="34" charset="0"/>
            </a:rPr>
            <a:t> mehr als ein Merkmal nicht erfüllt (n.v.), erhält die Uhr keinen Rang mehr und gilt als "ungeeignet".</a:t>
          </a:r>
          <a:endParaRPr lang="de-DE" sz="10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showGridLines="0" tabSelected="1" workbookViewId="0"/>
  </sheetViews>
  <sheetFormatPr baseColWidth="10" defaultRowHeight="14.4" x14ac:dyDescent="0.3"/>
  <cols>
    <col min="1" max="4" width="11.5546875" style="27"/>
    <col min="5" max="5" width="22" style="27" customWidth="1"/>
    <col min="6" max="6" width="30.44140625" style="27" customWidth="1"/>
    <col min="7" max="7" width="11.5546875" style="27" customWidth="1"/>
    <col min="8" max="10" width="11.5546875" style="27"/>
    <col min="11" max="11" width="12.88671875" style="27" customWidth="1"/>
    <col min="12" max="15" width="11.5546875" style="27"/>
    <col min="16" max="16" width="14.109375" style="27" customWidth="1"/>
    <col min="17" max="16384" width="11.5546875" style="27"/>
  </cols>
  <sheetData>
    <row r="1" spans="2:38" x14ac:dyDescent="0.3">
      <c r="AA1" s="28" t="s">
        <v>152</v>
      </c>
      <c r="AB1" s="28"/>
      <c r="AC1" s="28" t="s">
        <v>121</v>
      </c>
      <c r="AD1" s="28"/>
      <c r="AE1" s="28" t="s">
        <v>122</v>
      </c>
      <c r="AF1" s="28"/>
      <c r="AG1" s="28" t="s">
        <v>130</v>
      </c>
      <c r="AH1" s="28"/>
      <c r="AI1" s="28" t="s">
        <v>147</v>
      </c>
      <c r="AJ1" s="28"/>
      <c r="AK1" s="28"/>
      <c r="AL1" s="28" t="s">
        <v>163</v>
      </c>
    </row>
    <row r="2" spans="2:38" x14ac:dyDescent="0.3">
      <c r="AA2" s="28" t="s">
        <v>109</v>
      </c>
      <c r="AB2" s="28"/>
      <c r="AC2" s="28" t="s">
        <v>119</v>
      </c>
      <c r="AD2" s="28"/>
      <c r="AE2" s="28" t="s">
        <v>119</v>
      </c>
      <c r="AF2" s="28"/>
      <c r="AG2" s="28" t="s">
        <v>131</v>
      </c>
      <c r="AH2" s="28"/>
      <c r="AI2" s="28" t="s">
        <v>146</v>
      </c>
      <c r="AJ2" s="28"/>
      <c r="AK2" s="28"/>
      <c r="AL2" s="28" t="s">
        <v>164</v>
      </c>
    </row>
    <row r="3" spans="2:38" x14ac:dyDescent="0.3">
      <c r="B3" s="29" t="s">
        <v>105</v>
      </c>
      <c r="AA3" s="28" t="s">
        <v>119</v>
      </c>
      <c r="AB3" s="28"/>
      <c r="AC3" s="28"/>
      <c r="AD3" s="28"/>
      <c r="AE3" s="28"/>
      <c r="AF3" s="28"/>
      <c r="AG3" s="28" t="s">
        <v>132</v>
      </c>
      <c r="AH3" s="28"/>
      <c r="AI3" s="28" t="s">
        <v>119</v>
      </c>
      <c r="AJ3" s="28"/>
      <c r="AK3" s="28"/>
      <c r="AL3" s="28" t="s">
        <v>165</v>
      </c>
    </row>
    <row r="4" spans="2:38" x14ac:dyDescent="0.3">
      <c r="B4" s="29" t="s">
        <v>106</v>
      </c>
    </row>
    <row r="6" spans="2:38" ht="15.6" x14ac:dyDescent="0.3">
      <c r="B6" s="29" t="s">
        <v>154</v>
      </c>
      <c r="F6" s="37" t="s">
        <v>168</v>
      </c>
      <c r="G6" s="44"/>
      <c r="H6" s="44"/>
    </row>
    <row r="8" spans="2:38" x14ac:dyDescent="0.3">
      <c r="B8" s="30"/>
      <c r="C8" s="31" t="s">
        <v>108</v>
      </c>
      <c r="D8" s="31"/>
      <c r="E8" s="31"/>
      <c r="F8" s="32" t="s">
        <v>151</v>
      </c>
      <c r="G8" s="31" t="s">
        <v>13</v>
      </c>
      <c r="H8" s="31" t="s">
        <v>126</v>
      </c>
      <c r="I8" s="43" t="s">
        <v>156</v>
      </c>
      <c r="J8" s="43" t="s">
        <v>157</v>
      </c>
      <c r="K8" s="43" t="s">
        <v>158</v>
      </c>
      <c r="L8" s="43" t="s">
        <v>159</v>
      </c>
      <c r="M8" s="43" t="s">
        <v>160</v>
      </c>
      <c r="N8" s="43" t="s">
        <v>161</v>
      </c>
      <c r="O8" s="43" t="s">
        <v>162</v>
      </c>
      <c r="P8" s="43" t="s">
        <v>155</v>
      </c>
    </row>
    <row r="9" spans="2:38" x14ac:dyDescent="0.3">
      <c r="B9" s="31" t="s">
        <v>107</v>
      </c>
      <c r="C9" s="30" t="s">
        <v>110</v>
      </c>
      <c r="D9" s="30"/>
      <c r="E9" s="30"/>
      <c r="F9" s="26" t="s">
        <v>119</v>
      </c>
      <c r="G9" s="41" t="s">
        <v>164</v>
      </c>
      <c r="H9" s="30" t="str">
        <f>IF(F9="im Produkt enthalten","ja",IF(F9="optional (nachrüstbar)","footpod","egal"))</f>
        <v>egal</v>
      </c>
      <c r="I9" s="38" t="str">
        <f>INDEX(Tabelle2!$A$2:$K$27,MATCH(Tabelle2!$A$18,Tabelle2!$A$2:$A$27,0),MATCH(Tabelle2!D2,Tabelle2!$A$2:$K$2,0))</f>
        <v>footpod</v>
      </c>
      <c r="J9" s="38" t="str">
        <f>INDEX(Tabelle2!$A2:$K27,MATCH(Tabelle2!$A18,Tabelle2!$A2:$A27,0),MATCH(Tabelle2!E2,Tabelle2!$A2:$K2,0))</f>
        <v>only by connectIQ</v>
      </c>
      <c r="K9" s="38" t="str">
        <f>INDEX(Tabelle2!$A2:$K27,MATCH(Tabelle2!$A18,Tabelle2!$A2:$A27,0),MATCH(Tabelle2!F2,Tabelle2!$A2:$K2,0))</f>
        <v>footpod</v>
      </c>
      <c r="L9" s="38" t="str">
        <f>INDEX(Tabelle2!$A2:$K27,MATCH(Tabelle2!$A18,Tabelle2!$A2:$A27,0),MATCH(Tabelle2!G2,Tabelle2!$A2:$K2,0))</f>
        <v>footpod</v>
      </c>
      <c r="M9" s="38" t="str">
        <f>INDEX(Tabelle2!$A2:$K27,MATCH(Tabelle2!$A18,Tabelle2!$A2:$A27,0),MATCH(Tabelle2!H2,Tabelle2!$A2:$K2,0))</f>
        <v>footpod</v>
      </c>
      <c r="N9" s="38" t="str">
        <f>INDEX(Tabelle2!$A2:$K27,MATCH(Tabelle2!$A18,Tabelle2!$A2:$A27,0),MATCH(Tabelle2!I2,Tabelle2!$A2:$K2,0))</f>
        <v>footpod</v>
      </c>
      <c r="O9" s="38" t="str">
        <f>INDEX(Tabelle2!$A2:$K27,MATCH(Tabelle2!$A18,Tabelle2!$A2:$A27,0),MATCH(Tabelle2!J2,Tabelle2!$A2:$K2,0))</f>
        <v>ja</v>
      </c>
      <c r="P9" s="38" t="str">
        <f>INDEX(Tabelle2!$A2:$K27,MATCH(Tabelle2!$A18,Tabelle2!$A2:$A27,0),MATCH(Tabelle2!K2,Tabelle2!$A2:$K2,0))</f>
        <v>?</v>
      </c>
    </row>
    <row r="10" spans="2:38" x14ac:dyDescent="0.3">
      <c r="B10" s="31" t="s">
        <v>111</v>
      </c>
      <c r="C10" s="30" t="s">
        <v>112</v>
      </c>
      <c r="D10" s="30"/>
      <c r="E10" s="30"/>
      <c r="F10" s="26" t="s">
        <v>121</v>
      </c>
      <c r="G10" s="41" t="s">
        <v>164</v>
      </c>
      <c r="H10" s="30" t="str">
        <f>IF(F10="sehr wichtig","ja","egal")</f>
        <v>ja</v>
      </c>
      <c r="I10" s="38" t="str">
        <f>INDEX(Tabelle2!$A$2:$K$27,MATCH(Tabelle2!$A$17,Tabelle2!$A$2:$A$27,0),MATCH(Tabelle2!D2,Tabelle2!$A$2:$K$2,0))</f>
        <v>ja</v>
      </c>
      <c r="J10" s="38" t="str">
        <f>INDEX(Tabelle2!$A$2:$K$27,MATCH(Tabelle2!$A$17,Tabelle2!$A$2:$A$27,0),MATCH(Tabelle2!E2,Tabelle2!$A$2:$K$2,0))</f>
        <v>nein</v>
      </c>
      <c r="K10" s="38" t="str">
        <f>INDEX(Tabelle2!$A$2:$K$27,MATCH(Tabelle2!$A$17,Tabelle2!$A$2:$A$27,0),MATCH(Tabelle2!F2,Tabelle2!$A$2:$K$2,0))</f>
        <v>ja</v>
      </c>
      <c r="L10" s="38" t="str">
        <f>INDEX(Tabelle2!$A$2:$K$27,MATCH(Tabelle2!$A$17,Tabelle2!$A$2:$A$27,0),MATCH(Tabelle2!G2,Tabelle2!$A$2:$K$2,0))</f>
        <v>ja</v>
      </c>
      <c r="M10" s="38" t="str">
        <f>INDEX(Tabelle2!$A$2:$K$27,MATCH(Tabelle2!$A$17,Tabelle2!$A$2:$A$27,0),MATCH(Tabelle2!H2,Tabelle2!$A$2:$K$2,0))</f>
        <v>ja</v>
      </c>
      <c r="N10" s="38" t="str">
        <f>INDEX(Tabelle2!$A$2:$K$27,MATCH(Tabelle2!$A$17,Tabelle2!$A$2:$A$27,0),MATCH(Tabelle2!I2,Tabelle2!$A$2:$K$2,0))</f>
        <v>ja</v>
      </c>
      <c r="O10" s="38" t="str">
        <f>INDEX(Tabelle2!$A$2:$K$27,MATCH(Tabelle2!$A$17,Tabelle2!$A$2:$A$27,0),MATCH(Tabelle2!J2,Tabelle2!$A$2:$K$2,0))</f>
        <v>ja</v>
      </c>
      <c r="P10" s="38" t="str">
        <f>INDEX(Tabelle2!$A$2:$K$27,MATCH(Tabelle2!$A$17,Tabelle2!$A$2:$A$27,0),MATCH(Tabelle2!K2,Tabelle2!$A$2:$K$2,0))</f>
        <v>App erforderlich</v>
      </c>
    </row>
    <row r="11" spans="2:38" x14ac:dyDescent="0.3">
      <c r="B11" s="31" t="s">
        <v>113</v>
      </c>
      <c r="C11" s="30" t="s">
        <v>116</v>
      </c>
      <c r="D11" s="30"/>
      <c r="E11" s="30"/>
      <c r="F11" s="26" t="s">
        <v>121</v>
      </c>
      <c r="G11" s="41" t="s">
        <v>164</v>
      </c>
      <c r="H11" s="30" t="str">
        <f>IF(F11="sehr wichtig","ja","egal")</f>
        <v>ja</v>
      </c>
      <c r="I11" s="38" t="str">
        <f>INDEX(Tabelle2!$A$2:$K$27,MATCH(Tabelle2!$A$21,Tabelle2!$A$2:$A$27,0),MATCH(Tabelle2!D2,Tabelle2!$A$2:$K$2,0))</f>
        <v>nein</v>
      </c>
      <c r="J11" s="38" t="str">
        <f>INDEX(Tabelle2!$A$2:$K$27,MATCH(Tabelle2!$A$21,Tabelle2!$A$2:$A$27,0),MATCH(Tabelle2!E2,Tabelle2!$A$2:$K$2,0))</f>
        <v>only by connectIQ</v>
      </c>
      <c r="K11" s="38" t="str">
        <f>INDEX(Tabelle2!$A$2:$K$27,MATCH(Tabelle2!$A$21,Tabelle2!$A$2:$A$27,0),MATCH(Tabelle2!F2,Tabelle2!$A$2:$K$2,0))</f>
        <v>ja</v>
      </c>
      <c r="L11" s="38" t="str">
        <f>INDEX(Tabelle2!$A$2:$K$27,MATCH(Tabelle2!$A$21,Tabelle2!$A$2:$A$27,0),MATCH(Tabelle2!G2,Tabelle2!$A$2:$K$2,0))</f>
        <v>ja</v>
      </c>
      <c r="M11" s="38" t="str">
        <f>INDEX(Tabelle2!$A$2:$K$27,MATCH(Tabelle2!$A$21,Tabelle2!$A$2:$A$27,0),MATCH(Tabelle2!H2,Tabelle2!$A$2:$K$2,0))</f>
        <v>ja</v>
      </c>
      <c r="N11" s="38" t="str">
        <f>INDEX(Tabelle2!$A$2:$K$27,MATCH(Tabelle2!$A$21,Tabelle2!$A$2:$A$27,0),MATCH(Tabelle2!I2,Tabelle2!$A$2:$K$2,0))</f>
        <v>ja</v>
      </c>
      <c r="O11" s="38" t="str">
        <f>INDEX(Tabelle2!$A$2:$K$27,MATCH(Tabelle2!$A$21,Tabelle2!$A$2:$A$27,0),MATCH(Tabelle2!J2,Tabelle2!$A$2:$K$2,0))</f>
        <v>nein</v>
      </c>
      <c r="P11" s="38" t="str">
        <f>INDEX(Tabelle2!$A$2:$K$27,MATCH(Tabelle2!$A$21,Tabelle2!$A$2:$A$27,0),MATCH(Tabelle2!K2,Tabelle2!$A$2:$K$2,0))</f>
        <v>App erforderlich</v>
      </c>
    </row>
    <row r="12" spans="2:38" x14ac:dyDescent="0.3">
      <c r="B12" s="31" t="s">
        <v>114</v>
      </c>
      <c r="C12" s="30" t="s">
        <v>115</v>
      </c>
      <c r="D12" s="30"/>
      <c r="E12" s="30"/>
      <c r="F12" s="26" t="s">
        <v>121</v>
      </c>
      <c r="G12" s="41" t="s">
        <v>164</v>
      </c>
      <c r="H12" s="30" t="str">
        <f>IF(F12="sehr wichtig","ja","egal")</f>
        <v>ja</v>
      </c>
      <c r="I12" s="38" t="str">
        <f>INDEX(Tabelle2!$A$2:$K$27,MATCH(Tabelle2!$A$15,Tabelle2!$A$2:$A$27,0),MATCH(Tabelle2!D2,Tabelle2!$A$2:$K$2,0))</f>
        <v>ja</v>
      </c>
      <c r="J12" s="38" t="str">
        <f>INDEX(Tabelle2!$A$2:$K$27,MATCH(Tabelle2!$A$15,Tabelle2!$A$2:$A$27,0),MATCH(Tabelle2!E2,Tabelle2!$A$2:$K$2,0))</f>
        <v>ja</v>
      </c>
      <c r="K12" s="38" t="str">
        <f>INDEX(Tabelle2!$A$2:$K$27,MATCH(Tabelle2!$A$15,Tabelle2!$A$2:$A$27,0),MATCH(Tabelle2!F2,Tabelle2!$A$2:$K$2,0))</f>
        <v>nein</v>
      </c>
      <c r="L12" s="38" t="str">
        <f>INDEX(Tabelle2!$A$2:$K$27,MATCH(Tabelle2!$A$15,Tabelle2!$A$2:$A$27,0),MATCH(Tabelle2!G2,Tabelle2!$A$2:$K$2,0))</f>
        <v>ja</v>
      </c>
      <c r="M12" s="38" t="str">
        <f>INDEX(Tabelle2!$A$2:$K$27,MATCH(Tabelle2!$A$15,Tabelle2!$A$2:$A$27,0),MATCH(Tabelle2!H2,Tabelle2!$A$2:$K$2,0))</f>
        <v>ja</v>
      </c>
      <c r="N12" s="38" t="str">
        <f>INDEX(Tabelle2!$A$2:$K$27,MATCH(Tabelle2!$A$15,Tabelle2!$A$2:$A$27,0),MATCH(Tabelle2!I2,Tabelle2!$A$2:$K$2,0))</f>
        <v>ja</v>
      </c>
      <c r="O12" s="38" t="str">
        <f>INDEX(Tabelle2!$A$2:$K$27,MATCH(Tabelle2!$A$15,Tabelle2!$A$2:$A$27,0),MATCH(Tabelle2!J2,Tabelle2!$A$2:$K$2,0))</f>
        <v>ja</v>
      </c>
      <c r="P12" s="38" t="str">
        <f>INDEX(Tabelle2!$A$2:$K$27,MATCH(Tabelle2!$A$15,Tabelle2!$A$2:$A$27,0),MATCH(Tabelle2!K2,Tabelle2!$A$2:$K$2,0))</f>
        <v>App erforderlich</v>
      </c>
    </row>
    <row r="13" spans="2:38" x14ac:dyDescent="0.3">
      <c r="B13" s="31" t="s">
        <v>117</v>
      </c>
      <c r="C13" s="30" t="s">
        <v>153</v>
      </c>
      <c r="D13" s="30"/>
      <c r="E13" s="30"/>
      <c r="F13" s="26" t="s">
        <v>119</v>
      </c>
      <c r="G13" s="41" t="s">
        <v>164</v>
      </c>
      <c r="H13" s="30" t="str">
        <f>IF(F13="sehr wichtig","ja","egal")</f>
        <v>egal</v>
      </c>
      <c r="I13" s="38" t="str">
        <f>INDEX(Tabelle2!$A$2:$K$27,MATCH(Tabelle2!$A$13,Tabelle2!$A$2:$A$27,0),MATCH(Tabelle2!D2,Tabelle2!$A$2:$K$2,0))</f>
        <v>ja</v>
      </c>
      <c r="J13" s="38" t="str">
        <f>INDEX(Tabelle2!$A$2:$K$27,MATCH(Tabelle2!$A$13,Tabelle2!$A$2:$A$27,0),MATCH(Tabelle2!E2,Tabelle2!$A$2:$K$2,0))</f>
        <v>nein</v>
      </c>
      <c r="K13" s="38" t="str">
        <f>INDEX(Tabelle2!$A$2:$K$27,MATCH(Tabelle2!$A$13,Tabelle2!$A$2:$A$27,0),MATCH(Tabelle2!F2,Tabelle2!$A$2:$K$2,0))</f>
        <v>ja</v>
      </c>
      <c r="L13" s="38" t="str">
        <f>INDEX(Tabelle2!$A$2:$K$27,MATCH(Tabelle2!$A$13,Tabelle2!$A$2:$A$27,0),MATCH(Tabelle2!G2,Tabelle2!$A$2:$K$2,0))</f>
        <v>ja</v>
      </c>
      <c r="M13" s="38" t="str">
        <f>INDEX(Tabelle2!$A$2:$K$27,MATCH(Tabelle2!$A$13,Tabelle2!$A$2:$A$27,0),MATCH(Tabelle2!H2,Tabelle2!$A$2:$K$2,0))</f>
        <v>ja</v>
      </c>
      <c r="N13" s="38" t="str">
        <f>INDEX(Tabelle2!$A$2:$K$27,MATCH(Tabelle2!$A$13,Tabelle2!$A$2:$A$27,0),MATCH(Tabelle2!I2,Tabelle2!$A$2:$K$2,0))</f>
        <v>ja</v>
      </c>
      <c r="O13" s="38" t="str">
        <f>INDEX(Tabelle2!$A$2:$K$27,MATCH(Tabelle2!$A$13,Tabelle2!$A$2:$A$27,0),MATCH(Tabelle2!J2,Tabelle2!$A$2:$K$2,0))</f>
        <v>ja</v>
      </c>
      <c r="P13" s="38" t="str">
        <f>INDEX(Tabelle2!$A$2:$K$27,MATCH(Tabelle2!$A$13,Tabelle2!$A$2:$A$27,0),MATCH(Tabelle2!K2,Tabelle2!$A$2:$K$2,0))</f>
        <v>App erforderlich</v>
      </c>
    </row>
    <row r="14" spans="2:38" x14ac:dyDescent="0.3">
      <c r="B14" s="31" t="s">
        <v>120</v>
      </c>
      <c r="C14" s="30" t="s">
        <v>123</v>
      </c>
      <c r="D14" s="30"/>
      <c r="E14" s="30"/>
      <c r="F14" s="26" t="s">
        <v>132</v>
      </c>
      <c r="G14" s="41" t="s">
        <v>164</v>
      </c>
      <c r="H14" s="33" t="str">
        <f>IF(F14="20 Std. oder mehr","20",IF(F14="10 Std. oder mehr","&gt;10","&lt;10"))</f>
        <v>&lt;10</v>
      </c>
      <c r="I14" s="42">
        <f>INDEX(Tabelle2!$A$2:$K$27,MATCH(Tabelle2!$A$6,Tabelle2!$A$2:$A$27,0),MATCH(Tabelle2!D2,Tabelle2!$A$2:$K$2,0))</f>
        <v>30</v>
      </c>
      <c r="J14" s="38">
        <f>INDEX(Tabelle2!$A$2:$K$27,MATCH(Tabelle2!$A$6,Tabelle2!$A$2:$A$27,0),MATCH(Tabelle2!E2,Tabelle2!$A$2:$K$2,0))</f>
        <v>13</v>
      </c>
      <c r="K14" s="38">
        <f>INDEX(Tabelle2!$A$2:$K$27,MATCH(Tabelle2!$A$6,Tabelle2!$A$2:$A$27,0),MATCH(Tabelle2!F2,Tabelle2!$A$2:$K$2,0))</f>
        <v>10</v>
      </c>
      <c r="L14" s="38">
        <f>INDEX(Tabelle2!$A$2:$K$27,MATCH(Tabelle2!$A$6,Tabelle2!$A$2:$A$27,0),MATCH(Tabelle2!G2,Tabelle2!$A$2:$K$2,0))</f>
        <v>14</v>
      </c>
      <c r="M14" s="38">
        <f>INDEX(Tabelle2!$A$2:$K$27,MATCH(Tabelle2!$A$6,Tabelle2!$A$2:$A$27,0),MATCH(Tabelle2!H2,Tabelle2!$A$2:$K$2,0))</f>
        <v>24</v>
      </c>
      <c r="N14" s="38">
        <f>INDEX(Tabelle2!$A$2:$K$27,MATCH(Tabelle2!$A$6,Tabelle2!$A$2:$A$27,0),MATCH(Tabelle2!I2,Tabelle2!$A$2:$K$2,0))</f>
        <v>24</v>
      </c>
      <c r="O14" s="38">
        <f>INDEX(Tabelle2!$A$2:$K$27,MATCH(Tabelle2!$A$6,Tabelle2!$A$2:$A$27,0),MATCH(Tabelle2!J2,Tabelle2!$A$2:$K$2,0))</f>
        <v>40</v>
      </c>
      <c r="P14" s="38">
        <f>INDEX(Tabelle2!$A$2:$K$27,MATCH(Tabelle2!$A$6,Tabelle2!$A$2:$A$27,0),MATCH(Tabelle2!K2,Tabelle2!$A$2:$K$2,0))</f>
        <v>6</v>
      </c>
    </row>
    <row r="15" spans="2:38" x14ac:dyDescent="0.3">
      <c r="B15" s="31" t="s">
        <v>124</v>
      </c>
      <c r="C15" s="30" t="s">
        <v>118</v>
      </c>
      <c r="D15" s="30"/>
      <c r="E15" s="30"/>
      <c r="F15" s="26" t="s">
        <v>119</v>
      </c>
      <c r="G15" s="41" t="s">
        <v>164</v>
      </c>
      <c r="H15" s="30" t="str">
        <f>IF(F15="möglichst gering","&lt;=50g","&lt;=100g")</f>
        <v>&lt;=100g</v>
      </c>
      <c r="I15" s="38">
        <f>INDEX(Tabelle2!$A$2:$K$27,MATCH(Tabelle2!$A$7,Tabelle2!$A$2:$A$27,0),MATCH(Tabelle2!D2,Tabelle2!$A$2:$K$2,0))</f>
        <v>45</v>
      </c>
      <c r="J15" s="38">
        <f>INDEX(Tabelle2!$A$2:$K$27,MATCH(Tabelle2!$A$7,Tabelle2!$A$2:$A$27,0),MATCH(Tabelle2!E2,Tabelle2!$A$2:$K$2,0))</f>
        <v>43</v>
      </c>
      <c r="K15" s="38">
        <f>INDEX(Tabelle2!$A$2:$K$27,MATCH(Tabelle2!$A$7,Tabelle2!$A$2:$A$27,0),MATCH(Tabelle2!F2,Tabelle2!$A$2:$K$2,0))</f>
        <v>66</v>
      </c>
      <c r="L15" s="38">
        <f>INDEX(Tabelle2!$A$2:$K$27,MATCH(Tabelle2!$A$7,Tabelle2!$A$2:$A$27,0),MATCH(Tabelle2!G2,Tabelle2!$A$2:$K$2,0))</f>
        <v>42</v>
      </c>
      <c r="M15" s="38">
        <f>INDEX(Tabelle2!$A$2:$K$27,MATCH(Tabelle2!$A$7,Tabelle2!$A$2:$A$27,0),MATCH(Tabelle2!H2,Tabelle2!$A$2:$K$2,0))</f>
        <v>49</v>
      </c>
      <c r="N15" s="38">
        <f>INDEX(Tabelle2!$A$2:$K$27,MATCH(Tabelle2!$A$7,Tabelle2!$A$2:$A$27,0),MATCH(Tabelle2!I2,Tabelle2!$A$2:$K$2,0))</f>
        <v>85</v>
      </c>
      <c r="O15" s="38">
        <f>INDEX(Tabelle2!$A$2:$K$27,MATCH(Tabelle2!$A$7,Tabelle2!$A$2:$A$27,0),MATCH(Tabelle2!J2,Tabelle2!$A$2:$K$2,0))</f>
        <v>66</v>
      </c>
      <c r="P15" s="38">
        <f>INDEX(Tabelle2!$A$2:$K$27,MATCH(Tabelle2!$A$7,Tabelle2!$A$2:$A$27,0),MATCH(Tabelle2!K2,Tabelle2!$A$2:$K$2,0))</f>
        <v>37</v>
      </c>
    </row>
    <row r="16" spans="2:38" x14ac:dyDescent="0.3">
      <c r="B16" s="31" t="s">
        <v>140</v>
      </c>
      <c r="C16" s="30" t="s">
        <v>125</v>
      </c>
      <c r="D16" s="30"/>
      <c r="E16" s="30"/>
      <c r="F16" s="26" t="s">
        <v>119</v>
      </c>
      <c r="G16" s="41" t="s">
        <v>164</v>
      </c>
      <c r="H16" s="30" t="str">
        <f>IF(F16="möglichst gering","&lt;=13mm","&lt;=18mm")</f>
        <v>&lt;=18mm</v>
      </c>
      <c r="I16" s="38">
        <f>INDEX(Tabelle2!$A$2:$K$27,MATCH(Tabelle2!$A$9,Tabelle2!$A$2:$A$27,0),MATCH(Tabelle2!D2,Tabelle2!$A$2:$K$2,0))</f>
        <v>12.4</v>
      </c>
      <c r="J16" s="38">
        <f>INDEX(Tabelle2!$A$2:$K$27,MATCH(Tabelle2!$A$9,Tabelle2!$A$2:$A$27,0),MATCH(Tabelle2!E2,Tabelle2!$A$2:$K$2,0))</f>
        <v>11.7</v>
      </c>
      <c r="K16" s="38">
        <f>INDEX(Tabelle2!$A$2:$K$27,MATCH(Tabelle2!$A$9,Tabelle2!$A$2:$A$27,0),MATCH(Tabelle2!F2,Tabelle2!$A$2:$K$2,0))</f>
        <v>14.9</v>
      </c>
      <c r="L16" s="38">
        <f>INDEX(Tabelle2!$A$2:$K$27,MATCH(Tabelle2!$A$9,Tabelle2!$A$2:$A$27,0),MATCH(Tabelle2!G2,Tabelle2!$A$2:$K$2,0))</f>
        <v>13.5</v>
      </c>
      <c r="M16" s="38">
        <f>INDEX(Tabelle2!$A$2:$K$27,MATCH(Tabelle2!$A$9,Tabelle2!$A$2:$A$27,0),MATCH(Tabelle2!H2,Tabelle2!$A$2:$K$2,0))</f>
        <v>13</v>
      </c>
      <c r="N16" s="38">
        <f>INDEX(Tabelle2!$A$2:$K$27,MATCH(Tabelle2!$A$9,Tabelle2!$A$2:$A$27,0),MATCH(Tabelle2!I2,Tabelle2!$A$2:$K$2,0))</f>
        <v>15.5</v>
      </c>
      <c r="O16" s="38">
        <f>INDEX(Tabelle2!$A$2:$K$27,MATCH(Tabelle2!$A$9,Tabelle2!$A$2:$A$27,0),MATCH(Tabelle2!J2,Tabelle2!$A$2:$K$2,0))</f>
        <v>13</v>
      </c>
      <c r="P16" s="38">
        <f>INDEX(Tabelle2!$A$2:$K$27,MATCH(Tabelle2!$A$9,Tabelle2!$A$2:$A$27,0),MATCH(Tabelle2!K2,Tabelle2!$A$2:$K$2,0))</f>
        <v>10.7</v>
      </c>
    </row>
    <row r="17" spans="2:16" x14ac:dyDescent="0.3">
      <c r="B17" s="31" t="s">
        <v>142</v>
      </c>
      <c r="C17" s="30" t="s">
        <v>141</v>
      </c>
      <c r="D17" s="30"/>
      <c r="E17" s="30"/>
      <c r="F17" s="26" t="s">
        <v>119</v>
      </c>
      <c r="G17" s="41" t="s">
        <v>164</v>
      </c>
      <c r="H17" s="30" t="str">
        <f>IF(F17="sehr wichtig","ja","egal")</f>
        <v>egal</v>
      </c>
      <c r="I17" s="38" t="str">
        <f>INDEX(Tabelle2!$A$2:$K$27,MATCH(Tabelle2!$A$25,Tabelle2!$A$2:$A$27,0),MATCH(Tabelle2!D2,Tabelle2!$A$2:$K$2,0))</f>
        <v>sw-update Q1-19</v>
      </c>
      <c r="J17" s="38" t="str">
        <f>INDEX(Tabelle2!$A$2:$K$27,MATCH(Tabelle2!$A$25,Tabelle2!$A$2:$A$27,0),MATCH(Tabelle2!E2,Tabelle2!$A$2:$K$2,0))</f>
        <v>nein</v>
      </c>
      <c r="K17" s="38" t="str">
        <f>INDEX(Tabelle2!$A$2:$K$27,MATCH(Tabelle2!$A$25,Tabelle2!$A$2:$A$27,0),MATCH(Tabelle2!F2,Tabelle2!$A$2:$K$2,0))</f>
        <v>nein</v>
      </c>
      <c r="L17" s="38" t="str">
        <f>INDEX(Tabelle2!$A$2:$K$27,MATCH(Tabelle2!$A$25,Tabelle2!$A$2:$A$27,0),MATCH(Tabelle2!G2,Tabelle2!$A$2:$K$2,0))</f>
        <v>ja</v>
      </c>
      <c r="M17" s="38" t="str">
        <f>INDEX(Tabelle2!$A$2:$K$27,MATCH(Tabelle2!$A$25,Tabelle2!$A$2:$A$27,0),MATCH(Tabelle2!H2,Tabelle2!$A$2:$K$2,0))</f>
        <v>ja</v>
      </c>
      <c r="N17" s="38" t="str">
        <f>INDEX(Tabelle2!$A$2:$K$27,MATCH(Tabelle2!$A$25,Tabelle2!$A$2:$A$27,0),MATCH(Tabelle2!I2,Tabelle2!$A$2:$K$2,0))</f>
        <v>ja</v>
      </c>
      <c r="O17" s="38" t="str">
        <f>INDEX(Tabelle2!$A$2:$K$27,MATCH(Tabelle2!$A$25,Tabelle2!$A$2:$A$27,0),MATCH(Tabelle2!J2,Tabelle2!$A$2:$K$2,0))</f>
        <v>sw-update Q1-19</v>
      </c>
      <c r="P17" s="38" t="str">
        <f>INDEX(Tabelle2!$A$2:$K$27,MATCH(Tabelle2!$A$25,Tabelle2!$A$2:$A$27,0),MATCH(Tabelle2!K2,Tabelle2!$A$2:$K$2,0))</f>
        <v>ja</v>
      </c>
    </row>
    <row r="18" spans="2:16" x14ac:dyDescent="0.3">
      <c r="B18" s="31" t="s">
        <v>144</v>
      </c>
      <c r="C18" s="30" t="s">
        <v>143</v>
      </c>
      <c r="D18" s="30"/>
      <c r="E18" s="30"/>
      <c r="F18" s="26" t="s">
        <v>119</v>
      </c>
      <c r="G18" s="41" t="s">
        <v>164</v>
      </c>
      <c r="H18" s="30" t="str">
        <f>IF(F18="sehr wichtig","ja","egal")</f>
        <v>egal</v>
      </c>
      <c r="I18" s="38" t="str">
        <f>INDEX(Tabelle2!$A$2:$K$27,MATCH(Tabelle2!$A$23,Tabelle2!$A$2:$A$27,0),MATCH(Tabelle2!D2,Tabelle2!$A$2:$K$2,0))</f>
        <v>nein</v>
      </c>
      <c r="J18" s="38" t="str">
        <f>INDEX(Tabelle2!$A$2:$K$27,MATCH(Tabelle2!$A$23,Tabelle2!$A$2:$A$27,0),MATCH(Tabelle2!E2,Tabelle2!$A$2:$K$2,0))</f>
        <v>ja</v>
      </c>
      <c r="K18" s="38" t="str">
        <f>INDEX(Tabelle2!$A$2:$K$27,MATCH(Tabelle2!$A$23,Tabelle2!$A$2:$A$27,0),MATCH(Tabelle2!F2,Tabelle2!$A$2:$K$2,0))</f>
        <v>nein</v>
      </c>
      <c r="L18" s="38" t="str">
        <f>INDEX(Tabelle2!$A$2:$K$27,MATCH(Tabelle2!$A$23,Tabelle2!$A$2:$A$27,0),MATCH(Tabelle2!G2,Tabelle2!$A$2:$K$2,0))</f>
        <v>ja</v>
      </c>
      <c r="M18" s="38" t="str">
        <f>INDEX(Tabelle2!$A$2:$K$27,MATCH(Tabelle2!$A$23,Tabelle2!$A$2:$A$27,0),MATCH(Tabelle2!H2,Tabelle2!$A$2:$K$2,0))</f>
        <v>ja</v>
      </c>
      <c r="N18" s="38" t="str">
        <f>INDEX(Tabelle2!$A$2:$K$27,MATCH(Tabelle2!$A$23,Tabelle2!$A$2:$A$27,0),MATCH(Tabelle2!I2,Tabelle2!$A$2:$K$2,0))</f>
        <v>ja</v>
      </c>
      <c r="O18" s="38" t="str">
        <f>INDEX(Tabelle2!$A$2:$K$27,MATCH(Tabelle2!$A$23,Tabelle2!$A$2:$A$27,0),MATCH(Tabelle2!J2,Tabelle2!$A$2:$K$2,0))</f>
        <v>nein</v>
      </c>
      <c r="P18" s="38" t="str">
        <f>INDEX(Tabelle2!$A$2:$K$27,MATCH(Tabelle2!$A$23,Tabelle2!$A$2:$A$27,0),MATCH(Tabelle2!K2,Tabelle2!$A$2:$K$2,0))</f>
        <v>App erforderlich</v>
      </c>
    </row>
    <row r="19" spans="2:16" x14ac:dyDescent="0.3">
      <c r="B19" s="31"/>
      <c r="C19" s="30" t="s">
        <v>145</v>
      </c>
      <c r="D19" s="30"/>
      <c r="E19" s="30"/>
      <c r="F19" s="26" t="s">
        <v>119</v>
      </c>
      <c r="G19" s="41" t="s">
        <v>164</v>
      </c>
      <c r="H19" s="30" t="str">
        <f>IF(F19="gut oder besser","gut",IF(F19="ausreichend oder besser","ausreichend","egal"))</f>
        <v>egal</v>
      </c>
      <c r="I19" s="38" t="str">
        <f>INDEX(Tabelle2!$B$31:$K$45,MATCH(Tabelle2!$B$45,Tabelle2!$B$31:$B$45,0),MATCH(Tabelle2!D31,Tabelle2!$B$31:$K$31,0))</f>
        <v>gut</v>
      </c>
      <c r="J19" s="38" t="str">
        <f>INDEX(Tabelle2!$B$31:$K$45,MATCH(Tabelle2!$B$45,Tabelle2!$B$31:$B$45,0),MATCH(Tabelle2!E31,Tabelle2!$B$31:$K$31,0))</f>
        <v>gut</v>
      </c>
      <c r="K19" s="38" t="str">
        <f>INDEX(Tabelle2!$B$31:$K$45,MATCH(Tabelle2!$B$45,Tabelle2!$B$31:$B$45,0),MATCH(Tabelle2!F31,Tabelle2!$B$31:$K$31,0))</f>
        <v>gut</v>
      </c>
      <c r="L19" s="38" t="str">
        <f>INDEX(Tabelle2!$B$31:$K$45,MATCH(Tabelle2!$B$45,Tabelle2!$B$31:$B$45,0),MATCH(Tabelle2!G31,Tabelle2!$B$31:$K$31,0))</f>
        <v>befriedigend</v>
      </c>
      <c r="M19" s="38" t="str">
        <f>INDEX(Tabelle2!$B$31:$K$45,MATCH(Tabelle2!$B$45,Tabelle2!$B$31:$B$45,0),MATCH(Tabelle2!H31,Tabelle2!$B$31:$K$31,0))</f>
        <v>ausreichend</v>
      </c>
      <c r="N19" s="38" t="str">
        <f>INDEX(Tabelle2!$B$31:$K$45,MATCH(Tabelle2!$B$45,Tabelle2!$B$31:$B$45,0),MATCH(Tabelle2!I31,Tabelle2!$B$31:$K$31,0))</f>
        <v>ausreichend</v>
      </c>
      <c r="O19" s="38" t="str">
        <f>INDEX(Tabelle2!$B$31:$K$45,MATCH(Tabelle2!$B$45,Tabelle2!$B$31:$B$45,0),MATCH(Tabelle2!J31,Tabelle2!$B$31:$K$31,0))</f>
        <v>ausreichend</v>
      </c>
      <c r="P19" s="38" t="str">
        <f>INDEX(Tabelle2!$B$31:$K$45,MATCH(Tabelle2!$B$45,Tabelle2!$B$31:$B$45,0),MATCH(Tabelle2!K31,Tabelle2!$B$31:$K$31,0))</f>
        <v>ungenügend</v>
      </c>
    </row>
    <row r="22" spans="2:16" x14ac:dyDescent="0.3">
      <c r="B22" s="45"/>
      <c r="F22" s="34" t="s">
        <v>133</v>
      </c>
      <c r="G22" s="35">
        <f t="shared" ref="G22:G32" si="0">IF(G9="x2",0.2,IF(G9="x1",0.1,0))</f>
        <v>0.1</v>
      </c>
      <c r="I22" s="35">
        <f>IF($H$9=I9,LOOKUP($H$9,I9,$G$22*10),IF($H$9="egal",LOOKUP(I9,I9,$G$22*10),"n.v."))</f>
        <v>1</v>
      </c>
      <c r="J22" s="35">
        <f t="shared" ref="J22:P22" si="1">IF($H$9=J9,LOOKUP($H$9,J9,$G$22*10),IF($H$9="egal",LOOKUP(J9,J9,$G$22*10),"n.v."))</f>
        <v>1</v>
      </c>
      <c r="K22" s="35">
        <f t="shared" si="1"/>
        <v>1</v>
      </c>
      <c r="L22" s="35">
        <f t="shared" si="1"/>
        <v>1</v>
      </c>
      <c r="M22" s="35">
        <f t="shared" si="1"/>
        <v>1</v>
      </c>
      <c r="N22" s="35">
        <f t="shared" si="1"/>
        <v>1</v>
      </c>
      <c r="O22" s="51">
        <f>IF($H$9&lt;&gt;$O$9,$G$22*10,IF($H$9=O9,LOOKUP($H$9,O9,$G$22*10),IF($H$9="egal",LOOKUP(O9,O9,$G$22*10),"n.v.")))</f>
        <v>1</v>
      </c>
      <c r="P22" s="35">
        <f t="shared" si="1"/>
        <v>1</v>
      </c>
    </row>
    <row r="23" spans="2:16" x14ac:dyDescent="0.3">
      <c r="B23" s="45"/>
      <c r="F23" s="34" t="s">
        <v>134</v>
      </c>
      <c r="G23" s="35">
        <f t="shared" si="0"/>
        <v>0.1</v>
      </c>
      <c r="I23" s="35">
        <f>IF($H$10=I10,LOOKUP($H$10,I10,$G$23*10),IF($H$10="egal",LOOKUP(I10,I10,$G$23*10),"n.v."))</f>
        <v>1</v>
      </c>
      <c r="J23" s="35" t="str">
        <f t="shared" ref="J23:P23" si="2">IF($H$10=J10,LOOKUP($H$10,J10,$G$23*10),IF($H$10="egal",LOOKUP(J10,J10,$G$23*10),"n.v."))</f>
        <v>n.v.</v>
      </c>
      <c r="K23" s="35">
        <f t="shared" si="2"/>
        <v>1</v>
      </c>
      <c r="L23" s="35">
        <f t="shared" si="2"/>
        <v>1</v>
      </c>
      <c r="M23" s="35">
        <f t="shared" si="2"/>
        <v>1</v>
      </c>
      <c r="N23" s="35">
        <f t="shared" si="2"/>
        <v>1</v>
      </c>
      <c r="O23" s="35">
        <f t="shared" si="2"/>
        <v>1</v>
      </c>
      <c r="P23" s="35" t="str">
        <f t="shared" si="2"/>
        <v>n.v.</v>
      </c>
    </row>
    <row r="24" spans="2:16" x14ac:dyDescent="0.3">
      <c r="B24" s="45"/>
      <c r="F24" s="34" t="s">
        <v>135</v>
      </c>
      <c r="G24" s="35">
        <f t="shared" si="0"/>
        <v>0.1</v>
      </c>
      <c r="I24" s="35" t="str">
        <f>IF($H$11=I11,LOOKUP($H$11,I11,$G$24*10),IF($H$11="egal",LOOKUP(I11,I11,$G$24*10),"n.v."))</f>
        <v>n.v.</v>
      </c>
      <c r="J24" s="35" t="str">
        <f t="shared" ref="J24:P24" si="3">IF($H$11=J11,LOOKUP($H$11,J11,$G$24*10),IF($H$11="egal",LOOKUP(J11,J11,$G$24*10),"n.v."))</f>
        <v>n.v.</v>
      </c>
      <c r="K24" s="35">
        <f t="shared" si="3"/>
        <v>1</v>
      </c>
      <c r="L24" s="35">
        <f t="shared" si="3"/>
        <v>1</v>
      </c>
      <c r="M24" s="35">
        <f t="shared" si="3"/>
        <v>1</v>
      </c>
      <c r="N24" s="35">
        <f t="shared" si="3"/>
        <v>1</v>
      </c>
      <c r="O24" s="35" t="str">
        <f t="shared" si="3"/>
        <v>n.v.</v>
      </c>
      <c r="P24" s="35" t="str">
        <f t="shared" si="3"/>
        <v>n.v.</v>
      </c>
    </row>
    <row r="25" spans="2:16" x14ac:dyDescent="0.3">
      <c r="B25" s="45"/>
      <c r="F25" s="34" t="s">
        <v>136</v>
      </c>
      <c r="G25" s="35">
        <f t="shared" si="0"/>
        <v>0.1</v>
      </c>
      <c r="I25" s="35">
        <f>IF($H$12=I12,LOOKUP($H$12,I12,$G$25*10),IF($H$12="egal",LOOKUP(I12,I12,$G$25*10),"n.v."))</f>
        <v>1</v>
      </c>
      <c r="J25" s="35">
        <f t="shared" ref="J25:P25" si="4">IF($H$12=J12,LOOKUP($H$12,J12,$G$25*10),IF($H$12="egal",LOOKUP(J12,J12,$G$25*10),"n.v."))</f>
        <v>1</v>
      </c>
      <c r="K25" s="35" t="str">
        <f t="shared" si="4"/>
        <v>n.v.</v>
      </c>
      <c r="L25" s="35">
        <f t="shared" si="4"/>
        <v>1</v>
      </c>
      <c r="M25" s="35">
        <f t="shared" si="4"/>
        <v>1</v>
      </c>
      <c r="N25" s="35">
        <f t="shared" si="4"/>
        <v>1</v>
      </c>
      <c r="O25" s="35">
        <f t="shared" si="4"/>
        <v>1</v>
      </c>
      <c r="P25" s="35" t="str">
        <f t="shared" si="4"/>
        <v>n.v.</v>
      </c>
    </row>
    <row r="26" spans="2:16" x14ac:dyDescent="0.3">
      <c r="B26" s="45"/>
      <c r="F26" s="34" t="s">
        <v>137</v>
      </c>
      <c r="G26" s="35">
        <f t="shared" si="0"/>
        <v>0.1</v>
      </c>
      <c r="I26" s="35">
        <f>IF($H$13=I13,LOOKUP($H$13,I13,$G$26*10),IF($H$13="egal",LOOKUP(I13,I13,$G$26*10),"n.v."))</f>
        <v>1</v>
      </c>
      <c r="J26" s="35">
        <f t="shared" ref="J26:P26" si="5">IF($H$13=J13,LOOKUP($H$13,J13,$G$26*10),IF($H$13="egal",LOOKUP(J13,J13,$G$26*10),"n.v."))</f>
        <v>1</v>
      </c>
      <c r="K26" s="35">
        <f t="shared" si="5"/>
        <v>1</v>
      </c>
      <c r="L26" s="35">
        <f t="shared" si="5"/>
        <v>1</v>
      </c>
      <c r="M26" s="35">
        <f t="shared" si="5"/>
        <v>1</v>
      </c>
      <c r="N26" s="35">
        <f t="shared" si="5"/>
        <v>1</v>
      </c>
      <c r="O26" s="35">
        <f t="shared" si="5"/>
        <v>1</v>
      </c>
      <c r="P26" s="35">
        <f t="shared" si="5"/>
        <v>1</v>
      </c>
    </row>
    <row r="27" spans="2:16" x14ac:dyDescent="0.3">
      <c r="B27" s="45"/>
      <c r="F27" s="34" t="s">
        <v>138</v>
      </c>
      <c r="G27" s="35">
        <f t="shared" si="0"/>
        <v>0.1</v>
      </c>
      <c r="I27" s="35">
        <f>IF(AND($H$14="20",I14&gt;=20),LOOKUP(I14,I14,$G$27*10),IF(AND($H$14="&gt;10",I14&gt;10),LOOKUP(I14,I14,$G$27*10),IF(AND($H$14="&lt;10",I14&gt;=6),LOOKUP(I14,I14,$G$27*10),"n.v.")))</f>
        <v>1</v>
      </c>
      <c r="J27" s="35">
        <f t="shared" ref="J27:P27" si="6">IF(AND($H$14="20",J14&gt;=20),LOOKUP(J14,J14,$G$27*10),IF(AND($H$14="&gt;10",J14&gt;10),LOOKUP(J14,J14,$G$27*10),IF(AND($H$14="&lt;10",J14&gt;=6),LOOKUP(J14,J14,$G$27*10),"n.v.")))</f>
        <v>1</v>
      </c>
      <c r="K27" s="35">
        <f t="shared" si="6"/>
        <v>1</v>
      </c>
      <c r="L27" s="35">
        <f t="shared" si="6"/>
        <v>1</v>
      </c>
      <c r="M27" s="35">
        <f t="shared" si="6"/>
        <v>1</v>
      </c>
      <c r="N27" s="35">
        <f t="shared" si="6"/>
        <v>1</v>
      </c>
      <c r="O27" s="35">
        <f t="shared" si="6"/>
        <v>1</v>
      </c>
      <c r="P27" s="35">
        <f t="shared" si="6"/>
        <v>1</v>
      </c>
    </row>
    <row r="28" spans="2:16" x14ac:dyDescent="0.3">
      <c r="B28" s="45"/>
      <c r="F28" s="34" t="s">
        <v>139</v>
      </c>
      <c r="G28" s="35">
        <f t="shared" si="0"/>
        <v>0.1</v>
      </c>
      <c r="I28" s="35">
        <f>IF(AND($H$15="&lt;=50g",I15&lt;=50),LOOKUP(I14,I14,$G$28*10),IF($H$15="&lt;=100g",LOOKUP(I14,I14,$G$28*10),"n.v."))</f>
        <v>1</v>
      </c>
      <c r="J28" s="35">
        <f t="shared" ref="J28:P28" si="7">IF(AND($H$15="&lt;=50g",J15&lt;=50),LOOKUP(J14,J14,$G$28*10),IF($H$15="&lt;=100g",LOOKUP(J14,J14,$G$28*10),"n.v."))</f>
        <v>1</v>
      </c>
      <c r="K28" s="35">
        <f t="shared" si="7"/>
        <v>1</v>
      </c>
      <c r="L28" s="35">
        <f t="shared" si="7"/>
        <v>1</v>
      </c>
      <c r="M28" s="35">
        <f t="shared" si="7"/>
        <v>1</v>
      </c>
      <c r="N28" s="35">
        <f t="shared" si="7"/>
        <v>1</v>
      </c>
      <c r="O28" s="35">
        <f t="shared" si="7"/>
        <v>1</v>
      </c>
      <c r="P28" s="35">
        <f t="shared" si="7"/>
        <v>1</v>
      </c>
    </row>
    <row r="29" spans="2:16" x14ac:dyDescent="0.3">
      <c r="B29" s="45"/>
      <c r="F29" s="34" t="s">
        <v>148</v>
      </c>
      <c r="G29" s="35">
        <f t="shared" si="0"/>
        <v>0.1</v>
      </c>
      <c r="I29" s="35">
        <f>IF(AND($H$16="&lt;=13mm",I16&lt;=13),LOOKUP(I16,I16,$G$29*10),IF($H$16="&lt;=18mm",LOOKUP(I16,I16,$G$29*10),"n.v."))</f>
        <v>1</v>
      </c>
      <c r="J29" s="35">
        <f t="shared" ref="J29:P29" si="8">IF(AND($H$16="&lt;=13mm",J16&lt;=13),LOOKUP(J16,J16,$G$29*10),IF($H$16="&lt;=18mm",LOOKUP(J16,J16,$G$29*10),"n.v."))</f>
        <v>1</v>
      </c>
      <c r="K29" s="35">
        <f t="shared" si="8"/>
        <v>1</v>
      </c>
      <c r="L29" s="35">
        <f t="shared" si="8"/>
        <v>1</v>
      </c>
      <c r="M29" s="35">
        <f t="shared" si="8"/>
        <v>1</v>
      </c>
      <c r="N29" s="35">
        <f t="shared" si="8"/>
        <v>1</v>
      </c>
      <c r="O29" s="35">
        <f t="shared" si="8"/>
        <v>1</v>
      </c>
      <c r="P29" s="35">
        <f t="shared" si="8"/>
        <v>1</v>
      </c>
    </row>
    <row r="30" spans="2:16" x14ac:dyDescent="0.3">
      <c r="B30" s="45"/>
      <c r="F30" s="34" t="s">
        <v>149</v>
      </c>
      <c r="G30" s="35">
        <f t="shared" si="0"/>
        <v>0.1</v>
      </c>
      <c r="I30" s="35">
        <f>IF($H$17=I17,LOOKUP($H$17,I17,$G$30*10),IF($H$17="egal",LOOKUP(I17,I17,$G$30*10),"n.v."))</f>
        <v>1</v>
      </c>
      <c r="J30" s="35">
        <f t="shared" ref="J30:P30" si="9">IF($H$17=J17,LOOKUP($H$17,J17,$G$30*10),IF($H$17="egal",LOOKUP(J17,J17,$G$30*10),"n.v."))</f>
        <v>1</v>
      </c>
      <c r="K30" s="35">
        <f t="shared" si="9"/>
        <v>1</v>
      </c>
      <c r="L30" s="35">
        <f t="shared" si="9"/>
        <v>1</v>
      </c>
      <c r="M30" s="35">
        <f t="shared" si="9"/>
        <v>1</v>
      </c>
      <c r="N30" s="35">
        <f t="shared" si="9"/>
        <v>1</v>
      </c>
      <c r="O30" s="35">
        <f t="shared" si="9"/>
        <v>1</v>
      </c>
      <c r="P30" s="35">
        <f t="shared" si="9"/>
        <v>1</v>
      </c>
    </row>
    <row r="31" spans="2:16" x14ac:dyDescent="0.3">
      <c r="B31" s="45"/>
      <c r="F31" s="34" t="s">
        <v>150</v>
      </c>
      <c r="G31" s="35">
        <f t="shared" si="0"/>
        <v>0.1</v>
      </c>
      <c r="I31" s="35">
        <f>IF($H$18=I18,LOOKUP($H$18,I18,$G$31*10),IF($H$18="egal",LOOKUP(I18,I18,$G$31*10),"n.v."))</f>
        <v>1</v>
      </c>
      <c r="J31" s="35">
        <f t="shared" ref="J31:P31" si="10">IF($H$18=J18,LOOKUP($H$18,J18,$G$31*10),IF($H$18="egal",LOOKUP(J18,J18,$G$31*10),"n.v."))</f>
        <v>1</v>
      </c>
      <c r="K31" s="35">
        <f t="shared" si="10"/>
        <v>1</v>
      </c>
      <c r="L31" s="35">
        <f t="shared" si="10"/>
        <v>1</v>
      </c>
      <c r="M31" s="35">
        <f t="shared" si="10"/>
        <v>1</v>
      </c>
      <c r="N31" s="35">
        <f t="shared" si="10"/>
        <v>1</v>
      </c>
      <c r="O31" s="35">
        <f t="shared" si="10"/>
        <v>1</v>
      </c>
      <c r="P31" s="35">
        <f t="shared" si="10"/>
        <v>1</v>
      </c>
    </row>
    <row r="32" spans="2:16" x14ac:dyDescent="0.3">
      <c r="F32" s="34" t="s">
        <v>82</v>
      </c>
      <c r="G32" s="35">
        <f t="shared" si="0"/>
        <v>0.1</v>
      </c>
      <c r="I32" s="35">
        <f>IF(AND($H$19="gut",Tabelle2!D43&lt;=4),LOOKUP(I19,I19,$G$32*10),IF(AND($H$19="ausreichend",Tabelle2!D43&lt;=6),LOOKUP(I19,I19,$G$32*10),IF(AND($H$19="egal",Tabelle2!D43&lt;=10),LOOKUP(I19,I19,$G$32*10),"n.v.")))</f>
        <v>1</v>
      </c>
      <c r="J32" s="35">
        <f>IF(AND($H$19="gut",Tabelle2!E43&lt;=4),LOOKUP(J19,J19,$G$32*10),IF(AND($H$19="ausreichend",Tabelle2!E43&lt;=6),LOOKUP(J19,J19,$G$32*10),IF(AND($H$19="egal",Tabelle2!E43&lt;=10),LOOKUP(J19,J19,$G$32*10),"n.v.")))</f>
        <v>1</v>
      </c>
      <c r="K32" s="35">
        <f>IF(AND($H$19="gut",Tabelle2!F43&lt;=4),LOOKUP(K19,K19,$G$32*10),IF(AND($H$19="ausreichend",Tabelle2!F43&lt;=6),LOOKUP(K19,K19,$G$32*10),IF(AND($H$19="egal",Tabelle2!F43&lt;=10),LOOKUP(K19,K19,$G$32*10),"n.v.")))</f>
        <v>1</v>
      </c>
      <c r="L32" s="35">
        <f>IF(AND($H$19="gut",Tabelle2!G43&lt;=4),LOOKUP(L19,L19,$G$32*10),IF(AND($H$19="ausreichend",Tabelle2!G43&lt;=6),LOOKUP(L19,L19,$G$32*10),IF(AND($H$19="egal",Tabelle2!G43&lt;=10),LOOKUP(L19,L19,$G$32*10),"n.v.")))</f>
        <v>1</v>
      </c>
      <c r="M32" s="35">
        <f>IF(AND($H$19="gut",Tabelle2!H43&lt;=4),LOOKUP(M19,M19,$G$32*10),IF(AND($H$19="ausreichend",Tabelle2!H43&lt;=6),LOOKUP(M19,M19,$G$32*10),IF(AND($H$19="egal",Tabelle2!H43&lt;=10),LOOKUP(M19,M19,$G$32*10),"n.v.")))</f>
        <v>1</v>
      </c>
      <c r="N32" s="35">
        <f>IF(AND($H$19="gut",Tabelle2!I43&lt;=4),LOOKUP(N19,N19,$G$32*10),IF(AND($H$19="ausreichend",Tabelle2!I43&lt;=6),LOOKUP(N19,N19,$G$32*10),IF(AND($H$19="egal",Tabelle2!I43&lt;=10),LOOKUP(N19,N19,$G$32*10),"n.v.")))</f>
        <v>1</v>
      </c>
      <c r="O32" s="35">
        <f>IF(AND($H$19="gut",Tabelle2!J43&lt;=4),LOOKUP(O19,O19,$G$32*10),IF(AND($H$19="ausreichend",Tabelle2!J43&lt;=6),LOOKUP(O19,O19,$G$32*10),IF(AND($H$19="egal",Tabelle2!J43&lt;=10),LOOKUP(O19,O19,$G$32*10),"n.v.")))</f>
        <v>1</v>
      </c>
      <c r="P32" s="35">
        <f>IF(AND($H$19="gut",Tabelle2!K43&lt;=4),LOOKUP(P19,P19,$G$32*10),IF(AND($H$19="ausreichend",Tabelle2!K43&lt;=6),LOOKUP(P19,P19,$G$32*10),IF(AND($H$19="egal",Tabelle2!K43&lt;=10),LOOKUP(P19,P19,$G$32*10),"n.v.")))</f>
        <v>1</v>
      </c>
    </row>
    <row r="33" spans="1:16" x14ac:dyDescent="0.3">
      <c r="F33" s="36"/>
      <c r="G33" s="39">
        <f>SUM(G22:G32)*10</f>
        <v>10.999999999999998</v>
      </c>
      <c r="I33" s="39">
        <f>SUM(I22:I32)</f>
        <v>10</v>
      </c>
      <c r="J33" s="39">
        <f t="shared" ref="J33:P33" si="11">SUM(J22:J32)</f>
        <v>9</v>
      </c>
      <c r="K33" s="39">
        <f t="shared" si="11"/>
        <v>10</v>
      </c>
      <c r="L33" s="39">
        <f t="shared" si="11"/>
        <v>11</v>
      </c>
      <c r="M33" s="39">
        <f t="shared" si="11"/>
        <v>11</v>
      </c>
      <c r="N33" s="39">
        <f t="shared" si="11"/>
        <v>11</v>
      </c>
      <c r="O33" s="39">
        <f t="shared" si="11"/>
        <v>10</v>
      </c>
      <c r="P33" s="39">
        <f t="shared" si="11"/>
        <v>8</v>
      </c>
    </row>
    <row r="34" spans="1:16" x14ac:dyDescent="0.3">
      <c r="B34" s="48"/>
      <c r="C34" s="47"/>
      <c r="F34" s="39" t="s">
        <v>166</v>
      </c>
      <c r="G34" s="36"/>
      <c r="I34" s="40">
        <f t="shared" ref="I34:P34" si="12">I33/$G$33</f>
        <v>0.90909090909090928</v>
      </c>
      <c r="J34" s="40">
        <f t="shared" si="12"/>
        <v>0.81818181818181834</v>
      </c>
      <c r="K34" s="40">
        <f t="shared" si="12"/>
        <v>0.90909090909090928</v>
      </c>
      <c r="L34" s="40">
        <f t="shared" si="12"/>
        <v>1.0000000000000002</v>
      </c>
      <c r="M34" s="40">
        <f t="shared" si="12"/>
        <v>1.0000000000000002</v>
      </c>
      <c r="N34" s="40">
        <f t="shared" si="12"/>
        <v>1.0000000000000002</v>
      </c>
      <c r="O34" s="40">
        <f t="shared" si="12"/>
        <v>0.90909090909090928</v>
      </c>
      <c r="P34" s="40">
        <f t="shared" si="12"/>
        <v>0.7272727272727274</v>
      </c>
    </row>
    <row r="35" spans="1:16" ht="14.4" hidden="1" customHeight="1" x14ac:dyDescent="0.3">
      <c r="F35" s="36"/>
      <c r="G35" s="36"/>
      <c r="I35" s="36" t="str">
        <f t="shared" ref="I35:P35" si="13">IF(I34=1,I8,"")</f>
        <v/>
      </c>
      <c r="J35" s="36" t="str">
        <f t="shared" si="13"/>
        <v/>
      </c>
      <c r="K35" s="36" t="str">
        <f t="shared" si="13"/>
        <v/>
      </c>
      <c r="L35" s="36" t="str">
        <f t="shared" si="13"/>
        <v>[FR645]</v>
      </c>
      <c r="M35" s="36" t="str">
        <f t="shared" si="13"/>
        <v>[FR935]</v>
      </c>
      <c r="N35" s="36" t="str">
        <f t="shared" si="13"/>
        <v>[Fenix 5]</v>
      </c>
      <c r="O35" s="36" t="str">
        <f t="shared" si="13"/>
        <v/>
      </c>
      <c r="P35" s="36" t="str">
        <f t="shared" si="13"/>
        <v/>
      </c>
    </row>
    <row r="36" spans="1:16" ht="14.4" hidden="1" customHeight="1" x14ac:dyDescent="0.3">
      <c r="F36" s="36"/>
      <c r="G36" s="36"/>
      <c r="I36" s="36" t="str">
        <f>IF(AND(I34&lt;=0.99,I34&gt;=0.9),I8,"")</f>
        <v>[Vantage M]</v>
      </c>
      <c r="J36" s="36" t="str">
        <f t="shared" ref="J36:P36" si="14">IF(AND(J34&lt;=0.99,J34&gt;=0.9),J8,"")</f>
        <v/>
      </c>
      <c r="K36" s="36" t="str">
        <f t="shared" si="14"/>
        <v>[Trainer WHR]</v>
      </c>
      <c r="L36" s="36" t="str">
        <f t="shared" si="14"/>
        <v/>
      </c>
      <c r="M36" s="36" t="str">
        <f t="shared" si="14"/>
        <v/>
      </c>
      <c r="N36" s="36" t="str">
        <f t="shared" si="14"/>
        <v/>
      </c>
      <c r="O36" s="36" t="str">
        <f t="shared" si="14"/>
        <v>[Vantage V]</v>
      </c>
      <c r="P36" s="36" t="str">
        <f t="shared" si="14"/>
        <v/>
      </c>
    </row>
    <row r="37" spans="1:16" ht="14.4" hidden="1" customHeight="1" x14ac:dyDescent="0.3">
      <c r="F37" s="36"/>
      <c r="G37" s="36"/>
      <c r="I37" s="36" t="str">
        <f>IF(AND(I34&lt;=0.89,I34&gt;=0.75),I8,"")</f>
        <v/>
      </c>
      <c r="J37" s="36" t="str">
        <f t="shared" ref="J37:P37" si="15">IF(AND(J34&lt;=0.89,J34&gt;=0.75),J8,"")</f>
        <v>[VA3]</v>
      </c>
      <c r="K37" s="36" t="str">
        <f t="shared" si="15"/>
        <v/>
      </c>
      <c r="L37" s="36" t="str">
        <f t="shared" si="15"/>
        <v/>
      </c>
      <c r="M37" s="36" t="str">
        <f t="shared" si="15"/>
        <v/>
      </c>
      <c r="N37" s="36" t="str">
        <f t="shared" si="15"/>
        <v/>
      </c>
      <c r="O37" s="36" t="str">
        <f t="shared" si="15"/>
        <v/>
      </c>
      <c r="P37" s="36" t="str">
        <f t="shared" si="15"/>
        <v/>
      </c>
    </row>
    <row r="38" spans="1:16" x14ac:dyDescent="0.3">
      <c r="F38" s="39" t="s">
        <v>167</v>
      </c>
      <c r="G38" s="36"/>
      <c r="I38" s="39">
        <f>IF(COUNTIF(I22:I32,"n.v.")&gt;1,"ungeeignet",IF(I34=1,1,IF(I34&gt;=0.9,2,IF(I34&gt;=0.75,3,4))))</f>
        <v>2</v>
      </c>
      <c r="J38" s="39" t="str">
        <f t="shared" ref="J38:P38" si="16">IF(COUNTIF(J22:J32,"n.v.")&gt;1,"ungeeignet",IF(J34=1,1,IF(J34&gt;=0.9,2,IF(J34&gt;=0.75,3,4))))</f>
        <v>ungeeignet</v>
      </c>
      <c r="K38" s="39">
        <f t="shared" si="16"/>
        <v>2</v>
      </c>
      <c r="L38" s="39">
        <f t="shared" si="16"/>
        <v>1</v>
      </c>
      <c r="M38" s="39">
        <f t="shared" si="16"/>
        <v>1</v>
      </c>
      <c r="N38" s="39">
        <f t="shared" si="16"/>
        <v>1</v>
      </c>
      <c r="O38" s="39">
        <f t="shared" si="16"/>
        <v>2</v>
      </c>
      <c r="P38" s="39" t="str">
        <f t="shared" si="16"/>
        <v>ungeeignet</v>
      </c>
    </row>
    <row r="40" spans="1:16" x14ac:dyDescent="0.3">
      <c r="I40" s="50" t="str">
        <f>IF(COUNTIF(I38:P38,1)&gt;3,"zu viele Treffer",IF(COUNTIF(I38:P38,1)&lt;&gt;0,CONCATENATE(I35," ",J35," ",K35," ",L35," ",M35," ",N35," ",O35," ",P35),IF(COUNTIF(I38:P38,1)=0,IF(COUNTIF(I38:P38,2)&gt;3,"zu viele Treffer",IF(COUNTIF(I38:P38,2)&lt;&gt;0,CONCATENATE(I36," ",J36," ",K36," ",L36," ",M36," ",N36," ",O36," ",P36),IF(COUNTIF(I38:P38,3)&gt;3,"zu viele Treffer",IF(COUNTIF(I38:P38,3)&lt;&gt;0,CONCATENATE(I37," ",J37," ",K37," ",L37," ",M37," ",N37," ",O37," ",P37),"keine gute Treffermenge")))))))</f>
        <v xml:space="preserve">   [FR645] [FR935] [Fenix 5]  </v>
      </c>
      <c r="J40" s="50"/>
      <c r="K40" s="50"/>
      <c r="L40" s="50"/>
    </row>
    <row r="41" spans="1:16" x14ac:dyDescent="0.3">
      <c r="F41" s="27" t="str">
        <f>IF(COUNTIF(I38:P38,1)&gt;1,"Mehrfachtreffer!",IF(COUNTIF(I38:P38,1)=1,"Treffer!",IF(COUNTIF(I38:P38,2)&gt;1,"Mehrfachtreffer!",IF(COUNTIF(I38:P38,2)=1,"Treffer!","Anforderungen nur teilweise erfüllt"))))</f>
        <v>Mehrfachtreffer!</v>
      </c>
      <c r="I41" s="50"/>
      <c r="J41" s="50"/>
      <c r="K41" s="50"/>
      <c r="L41" s="50"/>
    </row>
    <row r="42" spans="1:16" x14ac:dyDescent="0.3">
      <c r="A42" s="46" t="s">
        <v>169</v>
      </c>
      <c r="B42" s="49">
        <v>43375</v>
      </c>
      <c r="C42" s="48" t="s">
        <v>170</v>
      </c>
      <c r="I42" s="50"/>
      <c r="J42" s="50"/>
      <c r="K42" s="50"/>
      <c r="L42" s="50"/>
    </row>
    <row r="43" spans="1:16" x14ac:dyDescent="0.3">
      <c r="I43" s="50"/>
      <c r="J43" s="50"/>
      <c r="K43" s="50"/>
      <c r="L43" s="50"/>
    </row>
    <row r="44" spans="1:16" x14ac:dyDescent="0.3">
      <c r="I44" s="50"/>
      <c r="J44" s="50"/>
      <c r="K44" s="50"/>
      <c r="L44" s="50"/>
    </row>
    <row r="45" spans="1:16" x14ac:dyDescent="0.3">
      <c r="I45" s="50"/>
      <c r="J45" s="50"/>
      <c r="K45" s="50"/>
      <c r="L45" s="50"/>
    </row>
  </sheetData>
  <sheetProtection password="D461" sheet="1" objects="1" scenarios="1"/>
  <mergeCells count="1">
    <mergeCell ref="I40:L45"/>
  </mergeCells>
  <conditionalFormatting sqref="I40:L45">
    <cfRule type="containsText" dxfId="6" priority="11" operator="containsText" text="zu viele Treffer">
      <formula>NOT(ISERROR(SEARCH("zu viele Treffer",I40)))</formula>
    </cfRule>
    <cfRule type="containsText" dxfId="5" priority="12" operator="containsText" text="[">
      <formula>NOT(ISERROR(SEARCH("[",I40)))</formula>
    </cfRule>
  </conditionalFormatting>
  <conditionalFormatting sqref="G22:G32">
    <cfRule type="colorScale" priority="10">
      <colorScale>
        <cfvo type="num" val="0"/>
        <cfvo type="num" val="0.1"/>
        <cfvo type="num" val="0.2"/>
        <color rgb="FFF8696B"/>
        <color rgb="FFFFEB84"/>
        <color rgb="FF63BE7B"/>
      </colorScale>
    </cfRule>
  </conditionalFormatting>
  <conditionalFormatting sqref="G9:G19">
    <cfRule type="containsText" dxfId="4" priority="3" operator="containsText" text="x2">
      <formula>NOT(ISERROR(SEARCH("x2",G9)))</formula>
    </cfRule>
    <cfRule type="containsText" dxfId="3" priority="4" operator="containsText" text="x1">
      <formula>NOT(ISERROR(SEARCH("x1",G9)))</formula>
    </cfRule>
    <cfRule type="containsText" dxfId="2" priority="5" operator="containsText" text="x0">
      <formula>NOT(ISERROR(SEARCH("x0",G9)))</formula>
    </cfRule>
  </conditionalFormatting>
  <conditionalFormatting sqref="I23:P32 I22:N22 P22">
    <cfRule type="containsText" dxfId="1" priority="2" operator="containsText" text="n.v.">
      <formula>NOT(ISERROR(SEARCH("n.v.",I22)))</formula>
    </cfRule>
    <cfRule type="cellIs" dxfId="0" priority="1" operator="equal">
      <formula>2</formula>
    </cfRule>
  </conditionalFormatting>
  <dataValidations count="6">
    <dataValidation type="list" allowBlank="1" showInputMessage="1" showErrorMessage="1" sqref="F9">
      <formula1>$AA$1:$AA$3</formula1>
    </dataValidation>
    <dataValidation type="list" allowBlank="1" showInputMessage="1" showErrorMessage="1" sqref="F17:F18 F10:F13">
      <formula1>$AC$1:$AC$2</formula1>
    </dataValidation>
    <dataValidation type="list" allowBlank="1" showInputMessage="1" showErrorMessage="1" sqref="F15:F16">
      <formula1>$AE$1:$AE$2</formula1>
    </dataValidation>
    <dataValidation type="list" allowBlank="1" showInputMessage="1" showErrorMessage="1" sqref="F14">
      <formula1>$AG$1:$AG$3</formula1>
    </dataValidation>
    <dataValidation type="list" allowBlank="1" showInputMessage="1" showErrorMessage="1" sqref="F19:F20">
      <formula1>$AI$1:$AI$3</formula1>
    </dataValidation>
    <dataValidation type="list" allowBlank="1" showInputMessage="1" showErrorMessage="1" sqref="G9:G19">
      <formula1>$AL$1:$AL$3</formula1>
    </dataValidation>
  </dataValidations>
  <pageMargins left="0.7" right="0.7" top="0.78740157499999996" bottom="0.78740157499999996" header="0.3" footer="0.3"/>
  <pageSetup paperSize="8" orientation="landscape" horizontalDpi="2400" verticalDpi="2400" r:id="rId1"/>
  <ignoredErrors>
    <ignoredError sqref="O2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50"/>
  <sheetViews>
    <sheetView zoomScaleNormal="100" workbookViewId="0">
      <selection activeCell="D20" sqref="D20"/>
    </sheetView>
  </sheetViews>
  <sheetFormatPr baseColWidth="10" defaultRowHeight="14.4" x14ac:dyDescent="0.3"/>
  <cols>
    <col min="1" max="1" width="4.5546875" bestFit="1" customWidth="1"/>
    <col min="2" max="2" width="34.77734375" bestFit="1" customWidth="1"/>
    <col min="3" max="3" width="7.6640625" bestFit="1" customWidth="1"/>
    <col min="4" max="4" width="21.44140625" bestFit="1" customWidth="1"/>
    <col min="5" max="5" width="17.44140625" bestFit="1" customWidth="1"/>
    <col min="6" max="6" width="19.77734375" bestFit="1" customWidth="1"/>
    <col min="7" max="7" width="13.33203125" bestFit="1" customWidth="1"/>
    <col min="8" max="8" width="12.77734375" bestFit="1" customWidth="1"/>
    <col min="9" max="9" width="12.77734375" customWidth="1"/>
    <col min="10" max="10" width="15.44140625" bestFit="1" customWidth="1"/>
    <col min="11" max="11" width="19.44140625" customWidth="1"/>
  </cols>
  <sheetData>
    <row r="2" spans="1:17" x14ac:dyDescent="0.3">
      <c r="A2" s="12" t="s">
        <v>47</v>
      </c>
      <c r="B2" s="12" t="s">
        <v>48</v>
      </c>
      <c r="C2" s="12"/>
      <c r="D2" s="12" t="s">
        <v>50</v>
      </c>
      <c r="E2" s="12" t="s">
        <v>49</v>
      </c>
      <c r="F2" s="12" t="s">
        <v>71</v>
      </c>
      <c r="G2" s="12" t="s">
        <v>52</v>
      </c>
      <c r="H2" s="12" t="s">
        <v>84</v>
      </c>
      <c r="I2" s="12" t="s">
        <v>96</v>
      </c>
      <c r="J2" s="12" t="s">
        <v>51</v>
      </c>
      <c r="K2" s="12" t="s">
        <v>68</v>
      </c>
      <c r="P2" t="s">
        <v>55</v>
      </c>
      <c r="Q2" t="s">
        <v>62</v>
      </c>
    </row>
    <row r="3" spans="1:17" x14ac:dyDescent="0.3">
      <c r="A3" s="13">
        <v>1</v>
      </c>
      <c r="B3" s="14" t="s">
        <v>29</v>
      </c>
      <c r="C3" s="14"/>
      <c r="D3" s="15" t="s">
        <v>53</v>
      </c>
      <c r="E3" s="15" t="s">
        <v>53</v>
      </c>
      <c r="F3" s="15" t="s">
        <v>53</v>
      </c>
      <c r="G3" s="15" t="s">
        <v>53</v>
      </c>
      <c r="H3" s="15" t="s">
        <v>53</v>
      </c>
      <c r="I3" s="15" t="s">
        <v>53</v>
      </c>
      <c r="J3" s="15" t="s">
        <v>53</v>
      </c>
      <c r="K3" s="14"/>
    </row>
    <row r="4" spans="1:17" x14ac:dyDescent="0.3">
      <c r="A4" s="16">
        <v>1.1000000000000001</v>
      </c>
      <c r="B4" s="12" t="s">
        <v>30</v>
      </c>
      <c r="C4" s="12"/>
      <c r="D4" s="17" t="s">
        <v>54</v>
      </c>
      <c r="E4" s="17" t="s">
        <v>54</v>
      </c>
      <c r="F4" s="17" t="s">
        <v>72</v>
      </c>
      <c r="G4" s="17" t="s">
        <v>54</v>
      </c>
      <c r="H4" s="17" t="s">
        <v>54</v>
      </c>
      <c r="I4" s="17" t="s">
        <v>54</v>
      </c>
      <c r="J4" s="17" t="s">
        <v>54</v>
      </c>
      <c r="K4" s="12" t="s">
        <v>66</v>
      </c>
    </row>
    <row r="5" spans="1:17" x14ac:dyDescent="0.3">
      <c r="A5" s="13">
        <v>1.2</v>
      </c>
      <c r="B5" s="14" t="s">
        <v>31</v>
      </c>
      <c r="C5" s="14"/>
      <c r="D5" s="15" t="s">
        <v>55</v>
      </c>
      <c r="E5" s="15" t="s">
        <v>55</v>
      </c>
      <c r="F5" s="15" t="s">
        <v>55</v>
      </c>
      <c r="G5" s="15" t="s">
        <v>55</v>
      </c>
      <c r="H5" s="15" t="s">
        <v>55</v>
      </c>
      <c r="I5" s="15" t="s">
        <v>55</v>
      </c>
      <c r="J5" s="15" t="s">
        <v>55</v>
      </c>
      <c r="K5" s="15" t="s">
        <v>55</v>
      </c>
    </row>
    <row r="6" spans="1:17" x14ac:dyDescent="0.3">
      <c r="A6" s="16">
        <v>2</v>
      </c>
      <c r="B6" s="12" t="s">
        <v>127</v>
      </c>
      <c r="C6" s="12"/>
      <c r="D6" s="17">
        <v>30</v>
      </c>
      <c r="E6" s="17">
        <v>13</v>
      </c>
      <c r="F6" s="17">
        <v>10</v>
      </c>
      <c r="G6" s="17">
        <v>14</v>
      </c>
      <c r="H6" s="17">
        <v>24</v>
      </c>
      <c r="I6" s="17">
        <v>24</v>
      </c>
      <c r="J6" s="17">
        <v>40</v>
      </c>
      <c r="K6" s="17">
        <v>6</v>
      </c>
    </row>
    <row r="7" spans="1:17" x14ac:dyDescent="0.3">
      <c r="A7" s="13">
        <v>3</v>
      </c>
      <c r="B7" s="14" t="s">
        <v>128</v>
      </c>
      <c r="C7" s="14"/>
      <c r="D7" s="15">
        <v>45</v>
      </c>
      <c r="E7" s="15">
        <v>43</v>
      </c>
      <c r="F7" s="15">
        <v>66</v>
      </c>
      <c r="G7" s="15">
        <v>42</v>
      </c>
      <c r="H7" s="15">
        <v>49</v>
      </c>
      <c r="I7" s="15">
        <v>85</v>
      </c>
      <c r="J7" s="15">
        <v>66</v>
      </c>
      <c r="K7" s="15">
        <v>37</v>
      </c>
    </row>
    <row r="8" spans="1:17" x14ac:dyDescent="0.3">
      <c r="A8" s="16">
        <v>3.1</v>
      </c>
      <c r="B8" s="12" t="s">
        <v>57</v>
      </c>
      <c r="C8" s="12"/>
      <c r="D8" s="17" t="s">
        <v>65</v>
      </c>
      <c r="E8" s="17" t="s">
        <v>56</v>
      </c>
      <c r="F8" s="17" t="s">
        <v>65</v>
      </c>
      <c r="G8" s="17" t="s">
        <v>60</v>
      </c>
      <c r="H8" s="17" t="s">
        <v>97</v>
      </c>
      <c r="I8" s="17" t="s">
        <v>97</v>
      </c>
      <c r="J8" s="17" t="s">
        <v>65</v>
      </c>
      <c r="K8" s="17" t="s">
        <v>67</v>
      </c>
    </row>
    <row r="9" spans="1:17" x14ac:dyDescent="0.3">
      <c r="A9" s="13">
        <v>3.2</v>
      </c>
      <c r="B9" s="14" t="s">
        <v>129</v>
      </c>
      <c r="C9" s="14"/>
      <c r="D9" s="15">
        <v>12.4</v>
      </c>
      <c r="E9" s="15">
        <v>11.7</v>
      </c>
      <c r="F9" s="15">
        <v>14.9</v>
      </c>
      <c r="G9" s="15">
        <v>13.5</v>
      </c>
      <c r="H9" s="15">
        <v>13</v>
      </c>
      <c r="I9" s="15">
        <v>15.5</v>
      </c>
      <c r="J9" s="15">
        <v>13</v>
      </c>
      <c r="K9" s="15">
        <v>10.7</v>
      </c>
    </row>
    <row r="10" spans="1:17" x14ac:dyDescent="0.3">
      <c r="A10" s="16">
        <v>3.3</v>
      </c>
      <c r="B10" s="12" t="s">
        <v>58</v>
      </c>
      <c r="C10" s="12"/>
      <c r="D10" s="17" t="s">
        <v>69</v>
      </c>
      <c r="E10" s="17" t="s">
        <v>59</v>
      </c>
      <c r="F10" s="17" t="s">
        <v>59</v>
      </c>
      <c r="G10" s="17" t="s">
        <v>61</v>
      </c>
      <c r="H10" s="17" t="s">
        <v>85</v>
      </c>
      <c r="I10" s="17" t="s">
        <v>61</v>
      </c>
      <c r="J10" s="17" t="s">
        <v>61</v>
      </c>
      <c r="K10" s="12" t="s">
        <v>87</v>
      </c>
    </row>
    <row r="11" spans="1:17" x14ac:dyDescent="0.3">
      <c r="A11" s="13">
        <v>4</v>
      </c>
      <c r="B11" s="14" t="s">
        <v>34</v>
      </c>
      <c r="C11" s="14"/>
      <c r="D11" s="15" t="s">
        <v>62</v>
      </c>
      <c r="E11" s="15" t="s">
        <v>55</v>
      </c>
      <c r="F11" s="15" t="s">
        <v>62</v>
      </c>
      <c r="G11" s="15" t="s">
        <v>55</v>
      </c>
      <c r="H11" s="15" t="s">
        <v>55</v>
      </c>
      <c r="I11" s="15" t="s">
        <v>55</v>
      </c>
      <c r="J11" s="15" t="s">
        <v>55</v>
      </c>
      <c r="K11" s="15" t="s">
        <v>55</v>
      </c>
    </row>
    <row r="12" spans="1:17" x14ac:dyDescent="0.3">
      <c r="A12" s="16">
        <v>5</v>
      </c>
      <c r="B12" s="12" t="s">
        <v>33</v>
      </c>
      <c r="C12" s="12"/>
      <c r="D12" s="17" t="s">
        <v>55</v>
      </c>
      <c r="E12" s="17" t="s">
        <v>62</v>
      </c>
      <c r="F12" s="17"/>
      <c r="G12" s="17" t="s">
        <v>55</v>
      </c>
      <c r="H12" s="17" t="s">
        <v>55</v>
      </c>
      <c r="I12" s="17" t="s">
        <v>55</v>
      </c>
      <c r="J12" s="17" t="s">
        <v>55</v>
      </c>
      <c r="K12" s="12" t="s">
        <v>91</v>
      </c>
    </row>
    <row r="13" spans="1:17" x14ac:dyDescent="0.3">
      <c r="A13" s="13">
        <v>5.0999999999999996</v>
      </c>
      <c r="B13" s="14" t="s">
        <v>35</v>
      </c>
      <c r="C13" s="14"/>
      <c r="D13" s="15" t="s">
        <v>55</v>
      </c>
      <c r="E13" s="15" t="s">
        <v>62</v>
      </c>
      <c r="F13" s="15" t="s">
        <v>55</v>
      </c>
      <c r="G13" s="15" t="s">
        <v>55</v>
      </c>
      <c r="H13" s="15" t="s">
        <v>55</v>
      </c>
      <c r="I13" s="15" t="s">
        <v>55</v>
      </c>
      <c r="J13" s="15" t="s">
        <v>55</v>
      </c>
      <c r="K13" s="14" t="s">
        <v>91</v>
      </c>
    </row>
    <row r="14" spans="1:17" x14ac:dyDescent="0.3">
      <c r="A14" s="16">
        <v>5.2</v>
      </c>
      <c r="B14" s="12" t="s">
        <v>36</v>
      </c>
      <c r="C14" s="12"/>
      <c r="D14" s="17" t="s">
        <v>55</v>
      </c>
      <c r="E14" s="17" t="s">
        <v>55</v>
      </c>
      <c r="F14" s="17" t="s">
        <v>55</v>
      </c>
      <c r="G14" s="17" t="s">
        <v>55</v>
      </c>
      <c r="H14" s="17" t="s">
        <v>55</v>
      </c>
      <c r="I14" s="17" t="s">
        <v>55</v>
      </c>
      <c r="J14" s="17" t="s">
        <v>55</v>
      </c>
      <c r="K14" s="12" t="s">
        <v>92</v>
      </c>
    </row>
    <row r="15" spans="1:17" x14ac:dyDescent="0.3">
      <c r="A15" s="13">
        <v>5.3</v>
      </c>
      <c r="B15" s="14" t="s">
        <v>37</v>
      </c>
      <c r="C15" s="14"/>
      <c r="D15" s="15" t="s">
        <v>55</v>
      </c>
      <c r="E15" s="15" t="s">
        <v>55</v>
      </c>
      <c r="F15" s="15" t="s">
        <v>62</v>
      </c>
      <c r="G15" s="15" t="s">
        <v>55</v>
      </c>
      <c r="H15" s="15" t="s">
        <v>55</v>
      </c>
      <c r="I15" s="15" t="s">
        <v>55</v>
      </c>
      <c r="J15" s="15" t="s">
        <v>55</v>
      </c>
      <c r="K15" s="14" t="s">
        <v>91</v>
      </c>
    </row>
    <row r="16" spans="1:17" x14ac:dyDescent="0.3">
      <c r="A16" s="16">
        <v>5.4</v>
      </c>
      <c r="B16" s="12" t="s">
        <v>38</v>
      </c>
      <c r="C16" s="12"/>
      <c r="D16" s="17" t="s">
        <v>55</v>
      </c>
      <c r="E16" s="17" t="s">
        <v>62</v>
      </c>
      <c r="F16" s="17" t="s">
        <v>55</v>
      </c>
      <c r="G16" s="17" t="s">
        <v>55</v>
      </c>
      <c r="H16" s="17" t="s">
        <v>55</v>
      </c>
      <c r="I16" s="17" t="s">
        <v>55</v>
      </c>
      <c r="J16" s="17" t="s">
        <v>55</v>
      </c>
      <c r="K16" s="12" t="s">
        <v>55</v>
      </c>
    </row>
    <row r="17" spans="1:11" x14ac:dyDescent="0.3">
      <c r="A17" s="13">
        <v>6</v>
      </c>
      <c r="B17" s="14" t="s">
        <v>90</v>
      </c>
      <c r="C17" s="14"/>
      <c r="D17" s="15" t="s">
        <v>55</v>
      </c>
      <c r="E17" s="15" t="s">
        <v>62</v>
      </c>
      <c r="F17" s="15" t="s">
        <v>55</v>
      </c>
      <c r="G17" s="15" t="s">
        <v>55</v>
      </c>
      <c r="H17" s="15" t="s">
        <v>55</v>
      </c>
      <c r="I17" s="15" t="s">
        <v>55</v>
      </c>
      <c r="J17" s="15" t="s">
        <v>55</v>
      </c>
      <c r="K17" s="14" t="s">
        <v>91</v>
      </c>
    </row>
    <row r="18" spans="1:11" x14ac:dyDescent="0.3">
      <c r="A18" s="16">
        <v>7</v>
      </c>
      <c r="B18" s="12" t="s">
        <v>42</v>
      </c>
      <c r="C18" s="12"/>
      <c r="D18" s="17" t="s">
        <v>94</v>
      </c>
      <c r="E18" s="17" t="s">
        <v>88</v>
      </c>
      <c r="F18" s="17" t="s">
        <v>94</v>
      </c>
      <c r="G18" s="17" t="s">
        <v>94</v>
      </c>
      <c r="H18" s="17" t="s">
        <v>94</v>
      </c>
      <c r="I18" s="17" t="s">
        <v>94</v>
      </c>
      <c r="J18" s="17" t="s">
        <v>55</v>
      </c>
      <c r="K18" s="12" t="s">
        <v>89</v>
      </c>
    </row>
    <row r="19" spans="1:11" x14ac:dyDescent="0.3">
      <c r="A19" s="13">
        <v>7.1</v>
      </c>
      <c r="B19" s="14" t="s">
        <v>43</v>
      </c>
      <c r="C19" s="14"/>
      <c r="D19" s="15" t="s">
        <v>63</v>
      </c>
      <c r="E19" s="15" t="s">
        <v>88</v>
      </c>
      <c r="F19" s="15" t="s">
        <v>63</v>
      </c>
      <c r="G19" s="15" t="s">
        <v>63</v>
      </c>
      <c r="H19" s="15" t="s">
        <v>63</v>
      </c>
      <c r="I19" s="15" t="s">
        <v>63</v>
      </c>
      <c r="J19" s="15" t="s">
        <v>63</v>
      </c>
      <c r="K19" s="14" t="s">
        <v>89</v>
      </c>
    </row>
    <row r="20" spans="1:11" x14ac:dyDescent="0.3">
      <c r="A20" s="16">
        <v>8</v>
      </c>
      <c r="B20" s="12" t="s">
        <v>39</v>
      </c>
      <c r="C20" s="12"/>
      <c r="D20" s="17" t="s">
        <v>64</v>
      </c>
      <c r="E20" s="17" t="s">
        <v>55</v>
      </c>
      <c r="F20" s="17" t="s">
        <v>55</v>
      </c>
      <c r="G20" s="17" t="s">
        <v>55</v>
      </c>
      <c r="H20" s="17" t="s">
        <v>55</v>
      </c>
      <c r="I20" s="17" t="s">
        <v>55</v>
      </c>
      <c r="J20" s="17" t="s">
        <v>64</v>
      </c>
      <c r="K20" s="12" t="s">
        <v>91</v>
      </c>
    </row>
    <row r="21" spans="1:11" x14ac:dyDescent="0.3">
      <c r="A21" s="13">
        <v>8.1</v>
      </c>
      <c r="B21" s="14" t="s">
        <v>40</v>
      </c>
      <c r="C21" s="14"/>
      <c r="D21" s="15" t="s">
        <v>62</v>
      </c>
      <c r="E21" s="15" t="s">
        <v>88</v>
      </c>
      <c r="F21" s="15" t="s">
        <v>55</v>
      </c>
      <c r="G21" s="15" t="s">
        <v>55</v>
      </c>
      <c r="H21" s="15" t="s">
        <v>55</v>
      </c>
      <c r="I21" s="15" t="s">
        <v>55</v>
      </c>
      <c r="J21" s="15" t="s">
        <v>62</v>
      </c>
      <c r="K21" s="14" t="s">
        <v>91</v>
      </c>
    </row>
    <row r="22" spans="1:11" x14ac:dyDescent="0.3">
      <c r="A22" s="16">
        <v>8.1999999999999993</v>
      </c>
      <c r="B22" s="12" t="s">
        <v>41</v>
      </c>
      <c r="C22" s="12"/>
      <c r="D22" s="17" t="s">
        <v>62</v>
      </c>
      <c r="E22" s="17" t="s">
        <v>95</v>
      </c>
      <c r="F22" s="17" t="s">
        <v>55</v>
      </c>
      <c r="G22" s="17" t="s">
        <v>55</v>
      </c>
      <c r="H22" s="17" t="s">
        <v>55</v>
      </c>
      <c r="I22" s="17" t="s">
        <v>55</v>
      </c>
      <c r="J22" s="17" t="s">
        <v>62</v>
      </c>
      <c r="K22" s="12" t="s">
        <v>91</v>
      </c>
    </row>
    <row r="23" spans="1:11" x14ac:dyDescent="0.3">
      <c r="A23" s="13">
        <v>9</v>
      </c>
      <c r="B23" s="14" t="s">
        <v>44</v>
      </c>
      <c r="C23" s="14"/>
      <c r="D23" s="15" t="s">
        <v>62</v>
      </c>
      <c r="E23" s="15" t="s">
        <v>55</v>
      </c>
      <c r="F23" s="15" t="s">
        <v>62</v>
      </c>
      <c r="G23" s="15" t="s">
        <v>55</v>
      </c>
      <c r="H23" s="15" t="s">
        <v>55</v>
      </c>
      <c r="I23" s="15" t="s">
        <v>55</v>
      </c>
      <c r="J23" s="15" t="s">
        <v>62</v>
      </c>
      <c r="K23" s="14" t="s">
        <v>91</v>
      </c>
    </row>
    <row r="24" spans="1:11" x14ac:dyDescent="0.3">
      <c r="A24" s="16">
        <v>9.1</v>
      </c>
      <c r="B24" s="12" t="s">
        <v>45</v>
      </c>
      <c r="C24" s="12"/>
      <c r="D24" s="17" t="s">
        <v>62</v>
      </c>
      <c r="E24" s="17" t="s">
        <v>62</v>
      </c>
      <c r="F24" s="17" t="s">
        <v>62</v>
      </c>
      <c r="G24" s="17" t="s">
        <v>62</v>
      </c>
      <c r="H24" s="17" t="s">
        <v>62</v>
      </c>
      <c r="I24" s="17" t="s">
        <v>62</v>
      </c>
      <c r="J24" s="17" t="s">
        <v>62</v>
      </c>
      <c r="K24" s="12" t="s">
        <v>55</v>
      </c>
    </row>
    <row r="25" spans="1:11" x14ac:dyDescent="0.3">
      <c r="A25" s="13">
        <v>10</v>
      </c>
      <c r="B25" s="14" t="s">
        <v>46</v>
      </c>
      <c r="C25" s="14"/>
      <c r="D25" s="15" t="s">
        <v>64</v>
      </c>
      <c r="E25" s="15" t="s">
        <v>62</v>
      </c>
      <c r="F25" s="15" t="s">
        <v>62</v>
      </c>
      <c r="G25" s="15" t="s">
        <v>55</v>
      </c>
      <c r="H25" s="15" t="s">
        <v>55</v>
      </c>
      <c r="I25" s="15" t="s">
        <v>55</v>
      </c>
      <c r="J25" s="15" t="s">
        <v>64</v>
      </c>
      <c r="K25" s="14" t="s">
        <v>55</v>
      </c>
    </row>
    <row r="26" spans="1:11" x14ac:dyDescent="0.3">
      <c r="A26" s="16">
        <v>11</v>
      </c>
      <c r="B26" s="12" t="s">
        <v>70</v>
      </c>
      <c r="C26" s="12"/>
      <c r="D26" s="17">
        <v>279</v>
      </c>
      <c r="E26" s="17">
        <v>299</v>
      </c>
      <c r="F26" s="17">
        <v>329</v>
      </c>
      <c r="G26" s="17">
        <v>399</v>
      </c>
      <c r="H26" s="17">
        <v>499</v>
      </c>
      <c r="I26" s="17">
        <v>549</v>
      </c>
      <c r="J26" s="17">
        <v>499</v>
      </c>
      <c r="K26" s="17">
        <v>499</v>
      </c>
    </row>
    <row r="27" spans="1:11" x14ac:dyDescent="0.3">
      <c r="A27" s="13">
        <v>11.1</v>
      </c>
      <c r="B27" s="14" t="s">
        <v>73</v>
      </c>
      <c r="D27" s="18">
        <v>279</v>
      </c>
      <c r="E27" s="18">
        <v>239</v>
      </c>
      <c r="F27" s="18">
        <v>229</v>
      </c>
      <c r="G27" s="18">
        <v>359</v>
      </c>
      <c r="H27" s="18">
        <v>449</v>
      </c>
      <c r="I27" s="18">
        <v>409</v>
      </c>
      <c r="J27" s="18">
        <v>499</v>
      </c>
      <c r="K27" s="18">
        <v>459</v>
      </c>
    </row>
    <row r="30" spans="1:11" x14ac:dyDescent="0.3">
      <c r="B30" s="21" t="s">
        <v>74</v>
      </c>
    </row>
    <row r="31" spans="1:11" x14ac:dyDescent="0.3">
      <c r="B31" s="22" t="s">
        <v>75</v>
      </c>
      <c r="C31" s="22" t="s">
        <v>32</v>
      </c>
      <c r="D31" s="22" t="s">
        <v>77</v>
      </c>
      <c r="E31" s="22" t="s">
        <v>78</v>
      </c>
      <c r="F31" s="22" t="s">
        <v>79</v>
      </c>
      <c r="G31" s="22" t="s">
        <v>80</v>
      </c>
      <c r="H31" s="22" t="s">
        <v>86</v>
      </c>
      <c r="I31" s="22" t="s">
        <v>98</v>
      </c>
      <c r="J31" s="22" t="s">
        <v>81</v>
      </c>
      <c r="K31" s="22" t="s">
        <v>68</v>
      </c>
    </row>
    <row r="32" spans="1:11" x14ac:dyDescent="0.3">
      <c r="B32" t="s">
        <v>30</v>
      </c>
      <c r="C32">
        <v>0.5</v>
      </c>
      <c r="D32">
        <v>7</v>
      </c>
      <c r="E32">
        <v>7</v>
      </c>
      <c r="F32">
        <v>6</v>
      </c>
      <c r="G32">
        <v>7</v>
      </c>
      <c r="H32">
        <v>7</v>
      </c>
      <c r="I32">
        <v>7</v>
      </c>
      <c r="J32">
        <v>7</v>
      </c>
      <c r="K32" s="23">
        <v>10</v>
      </c>
    </row>
    <row r="33" spans="2:11" x14ac:dyDescent="0.3">
      <c r="B33" s="22" t="s">
        <v>100</v>
      </c>
      <c r="C33" s="22">
        <v>2</v>
      </c>
      <c r="D33" s="23">
        <v>10</v>
      </c>
      <c r="E33" s="22">
        <v>6</v>
      </c>
      <c r="F33" s="22">
        <v>5</v>
      </c>
      <c r="G33" s="22">
        <v>6</v>
      </c>
      <c r="H33" s="22">
        <v>8</v>
      </c>
      <c r="I33" s="22">
        <v>8</v>
      </c>
      <c r="J33" s="23">
        <v>10</v>
      </c>
      <c r="K33" s="24">
        <v>3</v>
      </c>
    </row>
    <row r="34" spans="2:11" x14ac:dyDescent="0.3">
      <c r="B34" t="s">
        <v>32</v>
      </c>
      <c r="C34">
        <v>2</v>
      </c>
      <c r="D34">
        <v>9</v>
      </c>
      <c r="E34">
        <v>9</v>
      </c>
      <c r="F34">
        <v>7</v>
      </c>
      <c r="G34">
        <v>9</v>
      </c>
      <c r="H34">
        <v>9</v>
      </c>
      <c r="I34">
        <v>5</v>
      </c>
      <c r="J34">
        <v>7</v>
      </c>
      <c r="K34" s="23">
        <v>10</v>
      </c>
    </row>
    <row r="35" spans="2:11" x14ac:dyDescent="0.3">
      <c r="B35" s="22" t="s">
        <v>76</v>
      </c>
      <c r="C35" s="22">
        <v>1.5</v>
      </c>
      <c r="D35" s="22">
        <v>8</v>
      </c>
      <c r="E35" s="22">
        <v>9</v>
      </c>
      <c r="F35" s="22">
        <v>5</v>
      </c>
      <c r="G35" s="22">
        <v>7</v>
      </c>
      <c r="H35" s="22">
        <v>7</v>
      </c>
      <c r="I35" s="22">
        <v>5</v>
      </c>
      <c r="J35" s="22">
        <v>7</v>
      </c>
      <c r="K35" s="23">
        <v>10</v>
      </c>
    </row>
    <row r="36" spans="2:11" x14ac:dyDescent="0.3">
      <c r="B36" t="s">
        <v>99</v>
      </c>
      <c r="C36">
        <v>0.5</v>
      </c>
      <c r="D36">
        <v>0</v>
      </c>
      <c r="E36">
        <v>10</v>
      </c>
      <c r="F36">
        <v>0</v>
      </c>
      <c r="G36">
        <v>10</v>
      </c>
      <c r="H36">
        <v>10</v>
      </c>
      <c r="I36">
        <v>10</v>
      </c>
      <c r="J36">
        <v>10</v>
      </c>
      <c r="K36">
        <v>10</v>
      </c>
    </row>
    <row r="37" spans="2:11" x14ac:dyDescent="0.3">
      <c r="B37" s="22" t="s">
        <v>101</v>
      </c>
      <c r="C37" s="22">
        <v>2</v>
      </c>
      <c r="D37" s="22">
        <v>8</v>
      </c>
      <c r="E37" s="22">
        <v>4</v>
      </c>
      <c r="F37" s="22">
        <v>7</v>
      </c>
      <c r="G37" s="22">
        <v>8</v>
      </c>
      <c r="H37" s="23">
        <v>10</v>
      </c>
      <c r="I37" s="23">
        <v>10</v>
      </c>
      <c r="J37" s="23">
        <v>10</v>
      </c>
      <c r="K37" s="24">
        <v>2</v>
      </c>
    </row>
    <row r="38" spans="2:11" x14ac:dyDescent="0.3">
      <c r="B38" t="s">
        <v>102</v>
      </c>
      <c r="C38">
        <v>0.5</v>
      </c>
      <c r="D38">
        <v>0</v>
      </c>
      <c r="E38">
        <v>0</v>
      </c>
      <c r="F38">
        <v>10</v>
      </c>
      <c r="G38">
        <v>0</v>
      </c>
      <c r="H38">
        <v>10</v>
      </c>
      <c r="I38">
        <v>10</v>
      </c>
      <c r="J38">
        <v>10</v>
      </c>
      <c r="K38">
        <v>0</v>
      </c>
    </row>
    <row r="39" spans="2:11" x14ac:dyDescent="0.3">
      <c r="B39" s="22" t="s">
        <v>103</v>
      </c>
      <c r="C39" s="22">
        <v>0.5</v>
      </c>
      <c r="D39" s="22">
        <v>3</v>
      </c>
      <c r="E39" s="22">
        <v>6</v>
      </c>
      <c r="F39" s="22">
        <v>10</v>
      </c>
      <c r="G39" s="22">
        <v>10</v>
      </c>
      <c r="H39" s="22">
        <v>10</v>
      </c>
      <c r="I39" s="22">
        <v>10</v>
      </c>
      <c r="J39" s="22">
        <v>3</v>
      </c>
      <c r="K39" s="22">
        <v>0</v>
      </c>
    </row>
    <row r="40" spans="2:11" x14ac:dyDescent="0.3">
      <c r="B40" t="s">
        <v>104</v>
      </c>
      <c r="C40">
        <v>0.5</v>
      </c>
      <c r="D40">
        <v>10</v>
      </c>
      <c r="E40">
        <v>0</v>
      </c>
      <c r="F40">
        <v>0</v>
      </c>
      <c r="G40">
        <v>10</v>
      </c>
      <c r="H40">
        <v>10</v>
      </c>
      <c r="I40">
        <v>10</v>
      </c>
      <c r="J40">
        <v>10</v>
      </c>
      <c r="K40">
        <v>10</v>
      </c>
    </row>
    <row r="42" spans="2:11" x14ac:dyDescent="0.3">
      <c r="B42" t="s">
        <v>83</v>
      </c>
      <c r="C42" s="25">
        <f>SUM(C32:C40)*10</f>
        <v>100</v>
      </c>
      <c r="D42" s="19">
        <f>($C$32*D32+$C$33*D33+$C$34*D34+$C$35*D35+$C$36*D36+$C$37*D37+$C$38*D38+$C$39*D39+$C$40*D40)</f>
        <v>76</v>
      </c>
      <c r="E42" s="19">
        <f t="shared" ref="E42:K42" si="0">($C$32*E32+$C$33*E33+$C$34*E34+$C$35*E35+$C$36*E36+$C$37*E37+$C$38*E38+$C$39*E39+$C$40*E40)</f>
        <v>63</v>
      </c>
      <c r="F42" s="19">
        <f t="shared" si="0"/>
        <v>58.5</v>
      </c>
      <c r="G42" s="19">
        <f t="shared" si="0"/>
        <v>75</v>
      </c>
      <c r="H42" s="19">
        <f t="shared" si="0"/>
        <v>88</v>
      </c>
      <c r="I42" s="19">
        <f t="shared" si="0"/>
        <v>77</v>
      </c>
      <c r="J42" s="19">
        <f t="shared" si="0"/>
        <v>84.5</v>
      </c>
      <c r="K42" s="19">
        <f t="shared" si="0"/>
        <v>60</v>
      </c>
    </row>
    <row r="43" spans="2:11" x14ac:dyDescent="0.3">
      <c r="B43" t="s">
        <v>93</v>
      </c>
      <c r="D43" s="20">
        <f t="shared" ref="D43:K43" si="1">D27/D42</f>
        <v>3.6710526315789473</v>
      </c>
      <c r="E43" s="20">
        <f t="shared" si="1"/>
        <v>3.7936507936507935</v>
      </c>
      <c r="F43" s="20">
        <f t="shared" si="1"/>
        <v>3.9145299145299144</v>
      </c>
      <c r="G43" s="20">
        <f t="shared" si="1"/>
        <v>4.7866666666666671</v>
      </c>
      <c r="H43" s="20">
        <f t="shared" si="1"/>
        <v>5.1022727272727275</v>
      </c>
      <c r="I43" s="20">
        <f t="shared" si="1"/>
        <v>5.3116883116883118</v>
      </c>
      <c r="J43" s="20">
        <f t="shared" si="1"/>
        <v>5.9053254437869827</v>
      </c>
      <c r="K43" s="20">
        <f t="shared" si="1"/>
        <v>7.65</v>
      </c>
    </row>
    <row r="45" spans="2:11" x14ac:dyDescent="0.3">
      <c r="B45" t="s">
        <v>82</v>
      </c>
      <c r="D45" t="str">
        <f>IF(D43&lt;=3,"sehr gut",IF(D43&lt;=4,"gut",IF(D43&lt;=5,"befriedigend",IF(D43&lt;=6,"ausreichend",IF(D43&lt;=7,"mangelhaft","ungenügend")))))</f>
        <v>gut</v>
      </c>
      <c r="E45" t="str">
        <f t="shared" ref="E45:K45" si="2">IF(E43&lt;=3,"sehr gut",IF(E43&lt;=4,"gut",IF(E43&lt;=5,"befriedigend",IF(E43&lt;=6,"ausreichend",IF(E43&lt;=7,"mangelhaft","ungenügend")))))</f>
        <v>gut</v>
      </c>
      <c r="F45" t="str">
        <f t="shared" si="2"/>
        <v>gut</v>
      </c>
      <c r="G45" t="str">
        <f t="shared" si="2"/>
        <v>befriedigend</v>
      </c>
      <c r="H45" t="str">
        <f t="shared" si="2"/>
        <v>ausreichend</v>
      </c>
      <c r="I45" t="str">
        <f t="shared" si="2"/>
        <v>ausreichend</v>
      </c>
      <c r="J45" t="str">
        <f t="shared" si="2"/>
        <v>ausreichend</v>
      </c>
      <c r="K45" t="str">
        <f t="shared" si="2"/>
        <v>ungenügend</v>
      </c>
    </row>
    <row r="48" spans="2:11" x14ac:dyDescent="0.3">
      <c r="B48">
        <v>6</v>
      </c>
    </row>
    <row r="49" spans="2:2" x14ac:dyDescent="0.3">
      <c r="B49" t="str">
        <f>INDEX(B2:K27,MATCH("power meter running",B2:B27,0),MATCH(D2,B2:K2,0))</f>
        <v>footpod</v>
      </c>
    </row>
    <row r="50" spans="2:2" x14ac:dyDescent="0.3">
      <c r="B50" t="str">
        <f>HLOOKUP("ja",B2:K18,2)</f>
        <v>Displaygröße</v>
      </c>
    </row>
  </sheetData>
  <sheetProtection password="D461" sheet="1" objects="1" scenarios="1"/>
  <sortState columnSort="1" ref="D2:H26">
    <sortCondition ref="D26:H26"/>
  </sortState>
  <conditionalFormatting sqref="D42:K42">
    <cfRule type="colorScale" priority="5">
      <colorScale>
        <cfvo type="min"/>
        <cfvo type="percentile" val="65"/>
        <cfvo type="max"/>
        <color rgb="FFF8696B"/>
        <color rgb="FFFFEB84"/>
        <color rgb="FF63BE7B"/>
      </colorScale>
    </cfRule>
  </conditionalFormatting>
  <conditionalFormatting sqref="D45:K45">
    <cfRule type="containsText" dxfId="10" priority="1" operator="containsText" text="ungenügend">
      <formula>NOT(ISERROR(SEARCH("ungenügend",D45)))</formula>
    </cfRule>
    <cfRule type="containsText" dxfId="9" priority="2" operator="containsText" text="ausreichend">
      <formula>NOT(ISERROR(SEARCH("ausreichend",D45)))</formula>
    </cfRule>
    <cfRule type="containsText" dxfId="8" priority="3" operator="containsText" text="befriedigend">
      <formula>NOT(ISERROR(SEARCH("befriedigend",D45)))</formula>
    </cfRule>
    <cfRule type="containsText" dxfId="7" priority="4" operator="containsText" text="gut">
      <formula>NOT(ISERROR(SEARCH("gut",D45)))</formula>
    </cfRule>
  </conditionalFormatting>
  <pageMargins left="0.70866141732283472" right="0.70866141732283472" top="0.78740157480314965" bottom="0.78740157480314965" header="0.31496062992125984" footer="0.31496062992125984"/>
  <pageSetup paperSize="8" orientation="landscape" horizontalDpi="2400" verticalDpi="24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A13" sqref="A13"/>
    </sheetView>
  </sheetViews>
  <sheetFormatPr baseColWidth="10" defaultRowHeight="14.4" x14ac:dyDescent="0.3"/>
  <cols>
    <col min="1" max="1" width="64" bestFit="1" customWidth="1"/>
    <col min="2" max="2" width="11.5546875" customWidth="1"/>
    <col min="3" max="3" width="22.44140625" customWidth="1"/>
    <col min="4" max="4" width="13" bestFit="1" customWidth="1"/>
    <col min="5" max="5" width="8.109375" bestFit="1" customWidth="1"/>
    <col min="6" max="6" width="10.33203125" bestFit="1" customWidth="1"/>
    <col min="7" max="8" width="12.44140625" bestFit="1" customWidth="1"/>
    <col min="9" max="9" width="10.6640625" customWidth="1"/>
  </cols>
  <sheetData>
    <row r="1" spans="1:13" x14ac:dyDescent="0.3">
      <c r="A1" t="s">
        <v>14</v>
      </c>
    </row>
    <row r="2" spans="1:13" ht="15" x14ac:dyDescent="0.25">
      <c r="B2" s="1" t="s">
        <v>13</v>
      </c>
      <c r="C2" s="4" t="s">
        <v>8</v>
      </c>
      <c r="D2" s="6" t="s">
        <v>9</v>
      </c>
      <c r="E2" s="6" t="s">
        <v>27</v>
      </c>
      <c r="F2" s="6" t="s">
        <v>28</v>
      </c>
      <c r="G2" s="5" t="s">
        <v>10</v>
      </c>
      <c r="H2" s="5" t="s">
        <v>11</v>
      </c>
      <c r="I2" s="7" t="s">
        <v>12</v>
      </c>
    </row>
    <row r="3" spans="1:13" x14ac:dyDescent="0.3">
      <c r="A3" t="s">
        <v>1</v>
      </c>
      <c r="B3" s="1">
        <v>1</v>
      </c>
      <c r="C3" s="3">
        <v>10</v>
      </c>
      <c r="D3" s="1">
        <v>8</v>
      </c>
      <c r="E3" s="1">
        <v>8</v>
      </c>
      <c r="F3" s="9">
        <v>8</v>
      </c>
      <c r="G3" s="1">
        <v>7</v>
      </c>
      <c r="H3" s="1">
        <v>7</v>
      </c>
      <c r="I3" s="1">
        <v>9</v>
      </c>
    </row>
    <row r="4" spans="1:13" ht="15" x14ac:dyDescent="0.25">
      <c r="A4" t="s">
        <v>0</v>
      </c>
      <c r="B4" s="1">
        <v>1</v>
      </c>
      <c r="C4" s="4">
        <v>10</v>
      </c>
      <c r="D4" s="1">
        <v>9</v>
      </c>
      <c r="E4" s="1">
        <v>9</v>
      </c>
      <c r="F4" s="9">
        <v>9</v>
      </c>
      <c r="G4" s="1">
        <v>8</v>
      </c>
      <c r="H4" s="1">
        <v>8</v>
      </c>
      <c r="I4" s="1">
        <v>7</v>
      </c>
    </row>
    <row r="5" spans="1:13" x14ac:dyDescent="0.3">
      <c r="A5" t="s">
        <v>3</v>
      </c>
      <c r="B5" s="1">
        <v>1</v>
      </c>
      <c r="C5" s="1">
        <v>7</v>
      </c>
      <c r="D5" s="6">
        <v>10</v>
      </c>
      <c r="E5" s="6">
        <v>10</v>
      </c>
      <c r="F5" s="11">
        <v>9</v>
      </c>
      <c r="G5" s="1">
        <v>9</v>
      </c>
      <c r="H5" s="1">
        <v>9</v>
      </c>
      <c r="I5" s="1">
        <v>6</v>
      </c>
      <c r="M5" s="10"/>
    </row>
    <row r="6" spans="1:13" ht="15" x14ac:dyDescent="0.25">
      <c r="A6" t="s">
        <v>7</v>
      </c>
      <c r="B6" s="1">
        <v>1</v>
      </c>
      <c r="C6" s="1">
        <v>6</v>
      </c>
      <c r="D6" s="1">
        <v>7</v>
      </c>
      <c r="E6" s="1">
        <v>7</v>
      </c>
      <c r="F6" s="9">
        <v>7</v>
      </c>
      <c r="G6" s="5">
        <v>10</v>
      </c>
      <c r="H6" s="5">
        <v>10</v>
      </c>
      <c r="I6" s="1">
        <v>5</v>
      </c>
    </row>
    <row r="7" spans="1:13" ht="15" x14ac:dyDescent="0.25">
      <c r="A7" t="s">
        <v>4</v>
      </c>
      <c r="B7" s="1">
        <v>1</v>
      </c>
      <c r="C7" s="1">
        <v>7</v>
      </c>
      <c r="D7" s="1">
        <v>8</v>
      </c>
      <c r="E7" s="6">
        <v>10</v>
      </c>
      <c r="F7" s="9">
        <v>8</v>
      </c>
      <c r="G7" s="1">
        <v>8</v>
      </c>
      <c r="H7" s="1">
        <v>9</v>
      </c>
      <c r="I7" s="7">
        <v>10</v>
      </c>
    </row>
    <row r="8" spans="1:13" ht="15" x14ac:dyDescent="0.25">
      <c r="A8" t="s">
        <v>2</v>
      </c>
      <c r="B8" s="1">
        <v>1</v>
      </c>
      <c r="C8" s="1">
        <v>7</v>
      </c>
      <c r="D8" s="1">
        <v>8</v>
      </c>
      <c r="E8" s="1">
        <v>8</v>
      </c>
      <c r="F8" s="9">
        <v>8</v>
      </c>
      <c r="G8" s="1">
        <v>7</v>
      </c>
      <c r="H8" s="1">
        <v>7</v>
      </c>
      <c r="I8" s="1">
        <v>9</v>
      </c>
    </row>
    <row r="9" spans="1:13" ht="15" x14ac:dyDescent="0.25">
      <c r="A9" t="s">
        <v>5</v>
      </c>
      <c r="B9" s="1">
        <v>1</v>
      </c>
      <c r="C9" s="1">
        <v>6</v>
      </c>
      <c r="D9" s="1">
        <v>7</v>
      </c>
      <c r="E9" s="1">
        <v>9</v>
      </c>
      <c r="F9" s="9">
        <v>8</v>
      </c>
      <c r="G9" s="5">
        <v>10</v>
      </c>
      <c r="H9" s="5">
        <v>10</v>
      </c>
      <c r="I9" s="1">
        <v>6</v>
      </c>
    </row>
    <row r="10" spans="1:13" ht="15" x14ac:dyDescent="0.25">
      <c r="A10" t="s">
        <v>6</v>
      </c>
      <c r="B10" s="1">
        <v>1</v>
      </c>
      <c r="C10" s="1">
        <v>8</v>
      </c>
      <c r="D10" s="1">
        <v>9</v>
      </c>
      <c r="E10" s="1">
        <v>5</v>
      </c>
      <c r="F10" s="9">
        <v>8</v>
      </c>
      <c r="G10" s="1">
        <v>7</v>
      </c>
      <c r="H10" s="1">
        <v>6</v>
      </c>
      <c r="I10" s="7">
        <v>10</v>
      </c>
    </row>
    <row r="11" spans="1:13" ht="15" x14ac:dyDescent="0.25">
      <c r="F11" s="8"/>
    </row>
    <row r="12" spans="1:13" ht="15" x14ac:dyDescent="0.25">
      <c r="A12" t="s">
        <v>15</v>
      </c>
      <c r="B12" s="1"/>
      <c r="C12" s="1">
        <f>SUM(C3:C10)</f>
        <v>61</v>
      </c>
      <c r="D12" s="1">
        <f t="shared" ref="D12:I12" si="0">SUM(D3:D10)</f>
        <v>66</v>
      </c>
      <c r="E12" s="1">
        <f t="shared" si="0"/>
        <v>66</v>
      </c>
      <c r="F12" s="8">
        <f>SUM(F3:F10)</f>
        <v>65</v>
      </c>
      <c r="G12" s="1">
        <f t="shared" si="0"/>
        <v>66</v>
      </c>
      <c r="H12" s="1">
        <f t="shared" si="0"/>
        <v>66</v>
      </c>
      <c r="I12" s="1">
        <f t="shared" si="0"/>
        <v>62</v>
      </c>
    </row>
    <row r="13" spans="1:13" x14ac:dyDescent="0.3">
      <c r="A13" t="s">
        <v>16</v>
      </c>
      <c r="C13" s="2">
        <f>C12/66</f>
        <v>0.9242424242424242</v>
      </c>
      <c r="D13" s="2">
        <f t="shared" ref="D13:I13" si="1">D12/66</f>
        <v>1</v>
      </c>
      <c r="E13" s="2">
        <f t="shared" si="1"/>
        <v>1</v>
      </c>
      <c r="F13" s="8"/>
      <c r="G13" s="2">
        <f t="shared" si="1"/>
        <v>1</v>
      </c>
      <c r="H13" s="2">
        <f t="shared" si="1"/>
        <v>1</v>
      </c>
      <c r="I13" s="2">
        <f t="shared" si="1"/>
        <v>0.93939393939393945</v>
      </c>
    </row>
    <row r="14" spans="1:13" ht="15" x14ac:dyDescent="0.25">
      <c r="A14" t="s">
        <v>17</v>
      </c>
      <c r="C14" s="1" t="s">
        <v>20</v>
      </c>
      <c r="D14" s="1" t="s">
        <v>18</v>
      </c>
      <c r="E14" s="1" t="s">
        <v>18</v>
      </c>
      <c r="F14" s="8"/>
      <c r="G14" s="1" t="s">
        <v>18</v>
      </c>
      <c r="H14" s="1" t="s">
        <v>18</v>
      </c>
      <c r="I14" s="1" t="s">
        <v>19</v>
      </c>
    </row>
    <row r="17" spans="1:1" ht="15" x14ac:dyDescent="0.25">
      <c r="A17" t="s">
        <v>21</v>
      </c>
    </row>
    <row r="18" spans="1:1" x14ac:dyDescent="0.3">
      <c r="A18" t="s">
        <v>22</v>
      </c>
    </row>
    <row r="19" spans="1:1" ht="15" x14ac:dyDescent="0.25">
      <c r="A19" t="s">
        <v>25</v>
      </c>
    </row>
    <row r="20" spans="1:1" ht="15" x14ac:dyDescent="0.25">
      <c r="A20" t="s">
        <v>26</v>
      </c>
    </row>
    <row r="21" spans="1:1" ht="15" x14ac:dyDescent="0.25">
      <c r="A21" t="s">
        <v>24</v>
      </c>
    </row>
    <row r="22" spans="1:1" ht="15" x14ac:dyDescent="0.25">
      <c r="A22" t="s">
        <v>23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PhilS.Wearables.Calc</vt:lpstr>
      <vt:lpstr>Tabelle2</vt:lpstr>
      <vt:lpstr>Tabelle1</vt:lpstr>
      <vt:lpstr>Tabelle2!Druckbereich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Phil</cp:lastModifiedBy>
  <cp:lastPrinted>2018-09-21T08:17:26Z</cp:lastPrinted>
  <dcterms:created xsi:type="dcterms:W3CDTF">2015-07-05T10:40:39Z</dcterms:created>
  <dcterms:modified xsi:type="dcterms:W3CDTF">2018-10-02T12:25:37Z</dcterms:modified>
</cp:coreProperties>
</file>